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sgryba\Desktop\AGC\Planet Gold\pG Financing Tools\"/>
    </mc:Choice>
  </mc:AlternateContent>
  <xr:revisionPtr revIDLastSave="0" documentId="13_ncr:1_{5F48F481-4586-46E7-8926-E57175889A24}" xr6:coauthVersionLast="47" xr6:coauthVersionMax="47" xr10:uidLastSave="{00000000-0000-0000-0000-000000000000}"/>
  <bookViews>
    <workbookView xWindow="-110" yWindow="-110" windowWidth="19420" windowHeight="10300" activeTab="1" xr2:uid="{2DD7862C-0348-4BF4-931C-00D42FFFCEE9}"/>
  </bookViews>
  <sheets>
    <sheet name="Dashboard" sheetId="7" r:id="rId1"/>
    <sheet name="Estimates and Assumptions" sheetId="1" r:id="rId2"/>
    <sheet name="Model Operations" sheetId="2" r:id="rId3"/>
    <sheet name="Model Financials" sheetId="3" r:id="rId4"/>
    <sheet name="Schedules" sheetId="6" r:id="rId5"/>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4" i="1" l="1"/>
  <c r="E18" i="7"/>
  <c r="F18" i="7"/>
  <c r="G18" i="7"/>
  <c r="E20" i="7"/>
  <c r="F20" i="7"/>
  <c r="G20" i="7"/>
  <c r="E21" i="7"/>
  <c r="F21" i="7"/>
  <c r="G21" i="7"/>
  <c r="D21" i="7"/>
  <c r="D20" i="7"/>
  <c r="D18" i="7"/>
  <c r="H31" i="2"/>
  <c r="G31" i="2"/>
  <c r="H20" i="2"/>
  <c r="G20" i="2"/>
  <c r="G9" i="2"/>
  <c r="V93" i="3" l="1"/>
  <c r="U93" i="3"/>
  <c r="T93" i="3"/>
  <c r="S93" i="3"/>
  <c r="R93" i="3"/>
  <c r="Q93" i="3"/>
  <c r="P93" i="3"/>
  <c r="O93" i="3"/>
  <c r="N93" i="3"/>
  <c r="M93" i="3"/>
  <c r="L93" i="3"/>
  <c r="K93" i="3"/>
  <c r="J93" i="3"/>
  <c r="I93" i="3"/>
  <c r="H93" i="3"/>
  <c r="E100" i="3"/>
  <c r="E98" i="3"/>
  <c r="E97" i="3"/>
  <c r="E96" i="3"/>
  <c r="E95" i="3"/>
  <c r="V50" i="2"/>
  <c r="U50" i="2"/>
  <c r="T50" i="2"/>
  <c r="S50" i="2"/>
  <c r="R50" i="2"/>
  <c r="Q50" i="2"/>
  <c r="P50" i="2"/>
  <c r="O50" i="2"/>
  <c r="N50" i="2"/>
  <c r="M50" i="2"/>
  <c r="L50" i="2"/>
  <c r="K50" i="2"/>
  <c r="J50" i="2"/>
  <c r="I50" i="2"/>
  <c r="H50" i="2"/>
  <c r="H18" i="7"/>
  <c r="G56" i="3" l="1"/>
  <c r="H56" i="3" s="1"/>
  <c r="G27" i="6"/>
  <c r="F33" i="6"/>
  <c r="F32" i="6"/>
  <c r="F31" i="6"/>
  <c r="F9" i="6"/>
  <c r="H16" i="6"/>
  <c r="H7" i="6"/>
  <c r="G82" i="3"/>
  <c r="H82" i="3" s="1"/>
  <c r="I82" i="3" s="1"/>
  <c r="J82" i="3" s="1"/>
  <c r="K82" i="3" s="1"/>
  <c r="L82" i="3" s="1"/>
  <c r="M82" i="3" s="1"/>
  <c r="N82" i="3" s="1"/>
  <c r="O82" i="3" s="1"/>
  <c r="P82" i="3" s="1"/>
  <c r="Q82" i="3" s="1"/>
  <c r="R82" i="3" s="1"/>
  <c r="S82" i="3" s="1"/>
  <c r="T82" i="3" s="1"/>
  <c r="U82" i="3" s="1"/>
  <c r="V82" i="3" s="1"/>
  <c r="E33" i="3"/>
  <c r="F24" i="3"/>
  <c r="F106" i="2"/>
  <c r="F105" i="2"/>
  <c r="F104" i="2"/>
  <c r="F99" i="2"/>
  <c r="F98" i="2"/>
  <c r="F97" i="2"/>
  <c r="F89" i="2"/>
  <c r="F88" i="2"/>
  <c r="F87" i="2"/>
  <c r="F82" i="2"/>
  <c r="F81" i="2"/>
  <c r="F80" i="2"/>
  <c r="F72" i="2"/>
  <c r="F71" i="2"/>
  <c r="F70" i="2"/>
  <c r="F65" i="2"/>
  <c r="F64" i="2"/>
  <c r="F63" i="2"/>
  <c r="Q16" i="1"/>
  <c r="Q15" i="1"/>
  <c r="P16" i="1"/>
  <c r="O16" i="1"/>
  <c r="N16" i="1"/>
  <c r="M16" i="1"/>
  <c r="L16" i="1"/>
  <c r="K16" i="1"/>
  <c r="J16" i="1"/>
  <c r="I16" i="1"/>
  <c r="H16" i="1"/>
  <c r="G16" i="1"/>
  <c r="F16" i="1"/>
  <c r="P15" i="1"/>
  <c r="O15" i="1"/>
  <c r="N15" i="1"/>
  <c r="M15" i="1"/>
  <c r="L15" i="1"/>
  <c r="K15" i="1"/>
  <c r="J15" i="1"/>
  <c r="I15" i="1"/>
  <c r="H15" i="1"/>
  <c r="G15" i="1"/>
  <c r="F15" i="1"/>
  <c r="H35" i="2"/>
  <c r="I35" i="2" s="1"/>
  <c r="J35" i="2" s="1"/>
  <c r="K35" i="2" s="1"/>
  <c r="L35" i="2" s="1"/>
  <c r="M35" i="2" s="1"/>
  <c r="N35" i="2" s="1"/>
  <c r="O35" i="2" s="1"/>
  <c r="P35" i="2" s="1"/>
  <c r="Q35" i="2" s="1"/>
  <c r="R35" i="2" s="1"/>
  <c r="S35" i="2" s="1"/>
  <c r="T35" i="2" s="1"/>
  <c r="U35" i="2" s="1"/>
  <c r="V35" i="2" s="1"/>
  <c r="H34" i="2"/>
  <c r="I34" i="2" s="1"/>
  <c r="J34" i="2" s="1"/>
  <c r="K34" i="2" s="1"/>
  <c r="L34" i="2" s="1"/>
  <c r="M34" i="2" s="1"/>
  <c r="N34" i="2" s="1"/>
  <c r="O34" i="2" s="1"/>
  <c r="P34" i="2" s="1"/>
  <c r="Q34" i="2" s="1"/>
  <c r="R34" i="2" s="1"/>
  <c r="S34" i="2" s="1"/>
  <c r="T34" i="2" s="1"/>
  <c r="U34" i="2" s="1"/>
  <c r="V34" i="2" s="1"/>
  <c r="H30" i="2"/>
  <c r="H24" i="2"/>
  <c r="I24" i="2" s="1"/>
  <c r="J24" i="2" s="1"/>
  <c r="K24" i="2" s="1"/>
  <c r="L24" i="2" s="1"/>
  <c r="M24" i="2" s="1"/>
  <c r="N24" i="2" s="1"/>
  <c r="O24" i="2" s="1"/>
  <c r="P24" i="2" s="1"/>
  <c r="Q24" i="2" s="1"/>
  <c r="R24" i="2" s="1"/>
  <c r="S24" i="2" s="1"/>
  <c r="T24" i="2" s="1"/>
  <c r="U24" i="2" s="1"/>
  <c r="V24" i="2" s="1"/>
  <c r="H23" i="2"/>
  <c r="I23" i="2" s="1"/>
  <c r="J23" i="2" s="1"/>
  <c r="K23" i="2" s="1"/>
  <c r="L23" i="2" s="1"/>
  <c r="M23" i="2" s="1"/>
  <c r="N23" i="2" s="1"/>
  <c r="O23" i="2" s="1"/>
  <c r="P23" i="2" s="1"/>
  <c r="Q23" i="2" s="1"/>
  <c r="R23" i="2" s="1"/>
  <c r="S23" i="2" s="1"/>
  <c r="T23" i="2" s="1"/>
  <c r="U23" i="2" s="1"/>
  <c r="V23" i="2" s="1"/>
  <c r="H19" i="2"/>
  <c r="H13" i="2"/>
  <c r="I13" i="2" s="1"/>
  <c r="J13" i="2" s="1"/>
  <c r="K13" i="2" s="1"/>
  <c r="L13" i="2" s="1"/>
  <c r="M13" i="2" s="1"/>
  <c r="N13" i="2" s="1"/>
  <c r="O13" i="2" s="1"/>
  <c r="P13" i="2" s="1"/>
  <c r="Q13" i="2" s="1"/>
  <c r="R13" i="2" s="1"/>
  <c r="S13" i="2" s="1"/>
  <c r="T13" i="2" s="1"/>
  <c r="U13" i="2" s="1"/>
  <c r="V13" i="2" s="1"/>
  <c r="H12" i="2"/>
  <c r="I12" i="2" s="1"/>
  <c r="J12" i="2" s="1"/>
  <c r="K12" i="2" s="1"/>
  <c r="L12" i="2" s="1"/>
  <c r="M12" i="2" s="1"/>
  <c r="N12" i="2" s="1"/>
  <c r="O12" i="2" s="1"/>
  <c r="P12" i="2" s="1"/>
  <c r="Q12" i="2" s="1"/>
  <c r="R12" i="2" s="1"/>
  <c r="S12" i="2" s="1"/>
  <c r="T12" i="2" s="1"/>
  <c r="U12" i="2" s="1"/>
  <c r="V12" i="2" s="1"/>
  <c r="H8" i="2"/>
  <c r="H9" i="2" s="1"/>
  <c r="L25" i="1"/>
  <c r="L24" i="1"/>
  <c r="L23" i="1"/>
  <c r="H17" i="1" l="1"/>
  <c r="E19" i="7" s="1"/>
  <c r="L17" i="1"/>
  <c r="P17" i="1"/>
  <c r="P51" i="2" s="1"/>
  <c r="H9" i="6"/>
  <c r="H10" i="6" s="1"/>
  <c r="H30" i="3" s="1"/>
  <c r="I17" i="1"/>
  <c r="F19" i="7" s="1"/>
  <c r="M17" i="1"/>
  <c r="F17" i="1"/>
  <c r="J17" i="1"/>
  <c r="G19" i="7" s="1"/>
  <c r="G17" i="1"/>
  <c r="D19" i="7" s="1"/>
  <c r="K17" i="1"/>
  <c r="O17" i="1"/>
  <c r="N17" i="1"/>
  <c r="H106" i="2"/>
  <c r="M25" i="1"/>
  <c r="H70" i="2"/>
  <c r="M23" i="1"/>
  <c r="H80" i="2"/>
  <c r="M24" i="1"/>
  <c r="Q17" i="1"/>
  <c r="H19" i="7" s="1"/>
  <c r="O51" i="2" l="1"/>
  <c r="N51" i="2"/>
  <c r="M51" i="2"/>
  <c r="J51" i="2"/>
  <c r="U51" i="2"/>
  <c r="T51" i="2"/>
  <c r="R51" i="2"/>
  <c r="S51" i="2"/>
  <c r="Q51" i="2"/>
  <c r="V51" i="2"/>
  <c r="K51" i="2"/>
  <c r="L51" i="2"/>
  <c r="I51" i="2"/>
  <c r="H51" i="2"/>
  <c r="H21" i="2"/>
  <c r="I19" i="2" s="1"/>
  <c r="I20" i="2" s="1"/>
  <c r="I81" i="2" s="1"/>
  <c r="H82" i="2"/>
  <c r="H37" i="2"/>
  <c r="H38" i="2" s="1"/>
  <c r="H44" i="2" s="1"/>
  <c r="H105" i="2"/>
  <c r="H88" i="2"/>
  <c r="H32" i="2"/>
  <c r="I30" i="2" s="1"/>
  <c r="I31" i="2" s="1"/>
  <c r="I106" i="2" s="1"/>
  <c r="H87" i="2"/>
  <c r="H99" i="2"/>
  <c r="H104" i="2"/>
  <c r="P21" i="1"/>
  <c r="G57" i="1" s="1"/>
  <c r="H15" i="2"/>
  <c r="H16" i="2" s="1"/>
  <c r="H42" i="2" s="1"/>
  <c r="H72" i="2"/>
  <c r="H64" i="2"/>
  <c r="H26" i="2"/>
  <c r="H27" i="2" s="1"/>
  <c r="H43" i="2" s="1"/>
  <c r="H10" i="2"/>
  <c r="I8" i="2" s="1"/>
  <c r="I9" i="2" s="1"/>
  <c r="I64" i="2" s="1"/>
  <c r="H89" i="2"/>
  <c r="H98" i="2"/>
  <c r="H81" i="2"/>
  <c r="H63" i="2"/>
  <c r="H97" i="2"/>
  <c r="H65" i="2"/>
  <c r="H71" i="2"/>
  <c r="H53" i="2" l="1"/>
  <c r="H8" i="3" s="1"/>
  <c r="H55" i="2"/>
  <c r="H10" i="3" s="1"/>
  <c r="H54" i="2"/>
  <c r="H9" i="3" s="1"/>
  <c r="I26" i="2"/>
  <c r="I27" i="2" s="1"/>
  <c r="I43" i="2" s="1"/>
  <c r="I54" i="2" s="1"/>
  <c r="I9" i="3" s="1"/>
  <c r="H57" i="1"/>
  <c r="E57" i="1" s="1"/>
  <c r="F8" i="6" s="1"/>
  <c r="H8" i="6" s="1"/>
  <c r="H11" i="6" s="1"/>
  <c r="I80" i="2"/>
  <c r="I21" i="2"/>
  <c r="J19" i="2" s="1"/>
  <c r="I89" i="2"/>
  <c r="I82" i="2"/>
  <c r="I88" i="2"/>
  <c r="I87" i="2"/>
  <c r="J45" i="1"/>
  <c r="H45" i="1" s="1"/>
  <c r="H17" i="6" s="1"/>
  <c r="H84" i="2"/>
  <c r="I37" i="2"/>
  <c r="I38" i="2" s="1"/>
  <c r="I44" i="2" s="1"/>
  <c r="I55" i="2" s="1"/>
  <c r="I10" i="3" s="1"/>
  <c r="I97" i="2"/>
  <c r="I105" i="2"/>
  <c r="I104" i="2"/>
  <c r="I32" i="2"/>
  <c r="J30" i="2" s="1"/>
  <c r="J31" i="2" s="1"/>
  <c r="I99" i="2"/>
  <c r="H108" i="2"/>
  <c r="I98" i="2"/>
  <c r="H91" i="2"/>
  <c r="H67" i="2"/>
  <c r="I71" i="2"/>
  <c r="I10" i="2"/>
  <c r="J8" i="2" s="1"/>
  <c r="J9" i="2" s="1"/>
  <c r="H46" i="2"/>
  <c r="H101" i="2"/>
  <c r="H110" i="2" s="1"/>
  <c r="H116" i="2" s="1"/>
  <c r="H17" i="3" s="1"/>
  <c r="H74" i="2"/>
  <c r="I70" i="2"/>
  <c r="I63" i="2"/>
  <c r="I72" i="2"/>
  <c r="I65" i="2"/>
  <c r="I15" i="2"/>
  <c r="I16" i="2" s="1"/>
  <c r="I42" i="2" s="1"/>
  <c r="I53" i="2" s="1"/>
  <c r="I8" i="3" s="1"/>
  <c r="J20" i="2"/>
  <c r="H12" i="3" l="1"/>
  <c r="H22" i="3" s="1"/>
  <c r="I12" i="3"/>
  <c r="I25" i="6" s="1"/>
  <c r="I73" i="3" s="1"/>
  <c r="I75" i="3" s="1"/>
  <c r="H57" i="2"/>
  <c r="H49" i="3"/>
  <c r="H53" i="3" s="1"/>
  <c r="H12" i="6"/>
  <c r="H93" i="2"/>
  <c r="H115" i="2" s="1"/>
  <c r="H16" i="3" s="1"/>
  <c r="I84" i="2"/>
  <c r="I91" i="2"/>
  <c r="H18" i="6"/>
  <c r="H45" i="3" s="1"/>
  <c r="H47" i="3" s="1"/>
  <c r="I108" i="2"/>
  <c r="I101" i="2"/>
  <c r="H76" i="2"/>
  <c r="H114" i="2" s="1"/>
  <c r="H15" i="3" s="1"/>
  <c r="I74" i="2"/>
  <c r="I46" i="2"/>
  <c r="I67" i="2"/>
  <c r="I7" i="6"/>
  <c r="I9" i="6" s="1"/>
  <c r="H77" i="3"/>
  <c r="J37" i="2"/>
  <c r="J38" i="2" s="1"/>
  <c r="J44" i="2" s="1"/>
  <c r="J55" i="2" s="1"/>
  <c r="J10" i="3" s="1"/>
  <c r="J105" i="2"/>
  <c r="J104" i="2"/>
  <c r="J106" i="2"/>
  <c r="J98" i="2"/>
  <c r="J97" i="2"/>
  <c r="J99" i="2"/>
  <c r="J72" i="2"/>
  <c r="J70" i="2"/>
  <c r="J71" i="2"/>
  <c r="J63" i="2"/>
  <c r="J65" i="2"/>
  <c r="J64" i="2"/>
  <c r="J26" i="2"/>
  <c r="J27" i="2" s="1"/>
  <c r="J43" i="2" s="1"/>
  <c r="J54" i="2" s="1"/>
  <c r="J9" i="3" s="1"/>
  <c r="J89" i="2"/>
  <c r="J87" i="2"/>
  <c r="J80" i="2"/>
  <c r="J88" i="2"/>
  <c r="J81" i="2"/>
  <c r="J82" i="2"/>
  <c r="J10" i="2"/>
  <c r="K8" i="2" s="1"/>
  <c r="K9" i="2" s="1"/>
  <c r="J15" i="2"/>
  <c r="J16" i="2" s="1"/>
  <c r="J42" i="2" s="1"/>
  <c r="J32" i="2"/>
  <c r="K30" i="2" s="1"/>
  <c r="J21" i="2"/>
  <c r="K19" i="2" s="1"/>
  <c r="H24" i="6" l="1"/>
  <c r="H64" i="3" s="1"/>
  <c r="H25" i="6"/>
  <c r="H73" i="3" s="1"/>
  <c r="H75" i="3" s="1"/>
  <c r="H80" i="3" s="1"/>
  <c r="H23" i="6"/>
  <c r="H63" i="3" s="1"/>
  <c r="I23" i="6"/>
  <c r="I63" i="3" s="1"/>
  <c r="H24" i="3"/>
  <c r="I22" i="3"/>
  <c r="D29" i="7" s="1"/>
  <c r="H25" i="3"/>
  <c r="H40" i="3" s="1"/>
  <c r="I24" i="6"/>
  <c r="I17" i="6"/>
  <c r="I18" i="6" s="1"/>
  <c r="I45" i="3" s="1"/>
  <c r="I47" i="3" s="1"/>
  <c r="I93" i="2"/>
  <c r="I115" i="2" s="1"/>
  <c r="I16" i="3" s="1"/>
  <c r="H19" i="3"/>
  <c r="H23" i="3" s="1"/>
  <c r="H19" i="6"/>
  <c r="H68" i="3" s="1"/>
  <c r="I110" i="2"/>
  <c r="I116" i="2" s="1"/>
  <c r="I17" i="3" s="1"/>
  <c r="H118" i="2"/>
  <c r="I57" i="2"/>
  <c r="I76" i="2"/>
  <c r="I114" i="2" s="1"/>
  <c r="I15" i="3" s="1"/>
  <c r="I10" i="6"/>
  <c r="I30" i="3" s="1"/>
  <c r="I8" i="6"/>
  <c r="J101" i="2"/>
  <c r="J46" i="2"/>
  <c r="J53" i="2"/>
  <c r="J8" i="3" s="1"/>
  <c r="J12" i="3" s="1"/>
  <c r="J108" i="2"/>
  <c r="J84" i="2"/>
  <c r="J74" i="2"/>
  <c r="J67" i="2"/>
  <c r="K71" i="2"/>
  <c r="K72" i="2"/>
  <c r="K70" i="2"/>
  <c r="K63" i="2"/>
  <c r="K64" i="2"/>
  <c r="K65" i="2"/>
  <c r="J91" i="2"/>
  <c r="K10" i="2"/>
  <c r="L8" i="2" s="1"/>
  <c r="L9" i="2" s="1"/>
  <c r="K15" i="2"/>
  <c r="K16" i="2" s="1"/>
  <c r="K42" i="2" s="1"/>
  <c r="K53" i="2" s="1"/>
  <c r="K8" i="3" s="1"/>
  <c r="K31" i="2"/>
  <c r="K20" i="2"/>
  <c r="I24" i="3" l="1"/>
  <c r="I27" i="6"/>
  <c r="I64" i="3"/>
  <c r="H27" i="6"/>
  <c r="H28" i="6" s="1"/>
  <c r="H41" i="3" s="1"/>
  <c r="H28" i="3"/>
  <c r="I25" i="3"/>
  <c r="I40" i="3" s="1"/>
  <c r="I16" i="6"/>
  <c r="I19" i="6" s="1"/>
  <c r="I68" i="3" s="1"/>
  <c r="I19" i="3"/>
  <c r="I23" i="3" s="1"/>
  <c r="I118" i="2"/>
  <c r="J57" i="2"/>
  <c r="J17" i="6"/>
  <c r="J18" i="6" s="1"/>
  <c r="J45" i="3" s="1"/>
  <c r="J47" i="3" s="1"/>
  <c r="J22" i="3"/>
  <c r="E29" i="7" s="1"/>
  <c r="J25" i="6"/>
  <c r="J73" i="3" s="1"/>
  <c r="J75" i="3" s="1"/>
  <c r="J24" i="6"/>
  <c r="J23" i="6"/>
  <c r="J63" i="3" s="1"/>
  <c r="I11" i="6"/>
  <c r="I49" i="3" s="1"/>
  <c r="I53" i="3" s="1"/>
  <c r="J110" i="2"/>
  <c r="J116" i="2" s="1"/>
  <c r="J17" i="3" s="1"/>
  <c r="J93" i="2"/>
  <c r="J115" i="2" s="1"/>
  <c r="J16" i="3" s="1"/>
  <c r="J76" i="2"/>
  <c r="J114" i="2" s="1"/>
  <c r="K37" i="2"/>
  <c r="K38" i="2" s="1"/>
  <c r="K44" i="2" s="1"/>
  <c r="K55" i="2" s="1"/>
  <c r="K10" i="3" s="1"/>
  <c r="K105" i="2"/>
  <c r="K104" i="2"/>
  <c r="K106" i="2"/>
  <c r="K98" i="2"/>
  <c r="K97" i="2"/>
  <c r="K99" i="2"/>
  <c r="K74" i="2"/>
  <c r="L71" i="2"/>
  <c r="L72" i="2"/>
  <c r="L70" i="2"/>
  <c r="L64" i="2"/>
  <c r="L63" i="2"/>
  <c r="L65" i="2"/>
  <c r="K26" i="2"/>
  <c r="K27" i="2" s="1"/>
  <c r="K43" i="2" s="1"/>
  <c r="K88" i="2"/>
  <c r="K89" i="2"/>
  <c r="K87" i="2"/>
  <c r="K80" i="2"/>
  <c r="K81" i="2"/>
  <c r="K82" i="2"/>
  <c r="K67" i="2"/>
  <c r="K32" i="2"/>
  <c r="L30" i="2" s="1"/>
  <c r="L31" i="2" s="1"/>
  <c r="L10" i="2"/>
  <c r="M8" i="2" s="1"/>
  <c r="M9" i="2" s="1"/>
  <c r="L15" i="2"/>
  <c r="L16" i="2" s="1"/>
  <c r="L42" i="2" s="1"/>
  <c r="L53" i="2" s="1"/>
  <c r="L8" i="3" s="1"/>
  <c r="K21" i="2"/>
  <c r="L19" i="2" s="1"/>
  <c r="L20" i="2" s="1"/>
  <c r="I28" i="6" l="1"/>
  <c r="I41" i="3" s="1"/>
  <c r="I28" i="3"/>
  <c r="H32" i="3"/>
  <c r="H33" i="3" s="1"/>
  <c r="H35" i="3" s="1"/>
  <c r="H39" i="3" s="1"/>
  <c r="H43" i="3" s="1"/>
  <c r="J16" i="6"/>
  <c r="J19" i="6" s="1"/>
  <c r="J25" i="3"/>
  <c r="J40" i="3" s="1"/>
  <c r="I12" i="6"/>
  <c r="I77" i="3" s="1"/>
  <c r="J24" i="3"/>
  <c r="J27" i="6"/>
  <c r="J28" i="6" s="1"/>
  <c r="J41" i="3" s="1"/>
  <c r="J64" i="3"/>
  <c r="J118" i="2"/>
  <c r="J15" i="3"/>
  <c r="J19" i="3" s="1"/>
  <c r="J23" i="3" s="1"/>
  <c r="K108" i="2"/>
  <c r="K76" i="2"/>
  <c r="K114" i="2" s="1"/>
  <c r="K15" i="3" s="1"/>
  <c r="K46" i="2"/>
  <c r="K54" i="2"/>
  <c r="K9" i="3" s="1"/>
  <c r="K12" i="3" s="1"/>
  <c r="K101" i="2"/>
  <c r="L37" i="2"/>
  <c r="L38" i="2" s="1"/>
  <c r="L44" i="2" s="1"/>
  <c r="L55" i="2" s="1"/>
  <c r="L10" i="3" s="1"/>
  <c r="L106" i="2"/>
  <c r="L104" i="2"/>
  <c r="L105" i="2"/>
  <c r="L99" i="2"/>
  <c r="L98" i="2"/>
  <c r="L97" i="2"/>
  <c r="K84" i="2"/>
  <c r="L74" i="2"/>
  <c r="K91" i="2"/>
  <c r="L67" i="2"/>
  <c r="L26" i="2"/>
  <c r="L27" i="2" s="1"/>
  <c r="L43" i="2" s="1"/>
  <c r="L88" i="2"/>
  <c r="L89" i="2"/>
  <c r="L87" i="2"/>
  <c r="L81" i="2"/>
  <c r="L82" i="2"/>
  <c r="L80" i="2"/>
  <c r="M72" i="2"/>
  <c r="M70" i="2"/>
  <c r="M71" i="2"/>
  <c r="M64" i="2"/>
  <c r="M63" i="2"/>
  <c r="M65" i="2"/>
  <c r="M10" i="2"/>
  <c r="N8" i="2" s="1"/>
  <c r="N9" i="2" s="1"/>
  <c r="M15" i="2"/>
  <c r="M16" i="2" s="1"/>
  <c r="M42" i="2" s="1"/>
  <c r="M53" i="2" s="1"/>
  <c r="M8" i="3" s="1"/>
  <c r="L32" i="2"/>
  <c r="M30" i="2" s="1"/>
  <c r="M31" i="2" s="1"/>
  <c r="L21" i="2"/>
  <c r="M19" i="2" s="1"/>
  <c r="H95" i="3" l="1"/>
  <c r="I32" i="3"/>
  <c r="I33" i="3" s="1"/>
  <c r="D22" i="7" s="1"/>
  <c r="D34" i="7"/>
  <c r="D33" i="7"/>
  <c r="H55" i="3"/>
  <c r="H57" i="3" s="1"/>
  <c r="H62" i="3" s="1"/>
  <c r="I56" i="3" s="1"/>
  <c r="H83" i="3"/>
  <c r="H85" i="3" s="1"/>
  <c r="J68" i="3"/>
  <c r="K16" i="6"/>
  <c r="I80" i="3"/>
  <c r="J7" i="6"/>
  <c r="J9" i="6" s="1"/>
  <c r="J10" i="6" s="1"/>
  <c r="J30" i="3" s="1"/>
  <c r="J28" i="3"/>
  <c r="K57" i="2"/>
  <c r="K17" i="6"/>
  <c r="K22" i="3"/>
  <c r="K24" i="6"/>
  <c r="K64" i="3" s="1"/>
  <c r="K25" i="6"/>
  <c r="K23" i="6"/>
  <c r="K63" i="3" s="1"/>
  <c r="K110" i="2"/>
  <c r="K116" i="2" s="1"/>
  <c r="K17" i="3" s="1"/>
  <c r="K93" i="2"/>
  <c r="K115" i="2" s="1"/>
  <c r="L76" i="2"/>
  <c r="L114" i="2" s="1"/>
  <c r="L15" i="3" s="1"/>
  <c r="M37" i="2"/>
  <c r="M38" i="2" s="1"/>
  <c r="M44" i="2" s="1"/>
  <c r="M55" i="2" s="1"/>
  <c r="M10" i="3" s="1"/>
  <c r="M106" i="2"/>
  <c r="M104" i="2"/>
  <c r="M105" i="2"/>
  <c r="M97" i="2"/>
  <c r="M99" i="2"/>
  <c r="M98" i="2"/>
  <c r="L46" i="2"/>
  <c r="L57" i="2" s="1"/>
  <c r="L54" i="2"/>
  <c r="L9" i="3" s="1"/>
  <c r="L12" i="3" s="1"/>
  <c r="L101" i="2"/>
  <c r="L108" i="2"/>
  <c r="M74" i="2"/>
  <c r="L84" i="2"/>
  <c r="M67" i="2"/>
  <c r="N72" i="2"/>
  <c r="N70" i="2"/>
  <c r="N71" i="2"/>
  <c r="N63" i="2"/>
  <c r="N65" i="2"/>
  <c r="N64" i="2"/>
  <c r="L91" i="2"/>
  <c r="L93" i="2" s="1"/>
  <c r="L115" i="2" s="1"/>
  <c r="L16" i="3" s="1"/>
  <c r="N10" i="2"/>
  <c r="O8" i="2" s="1"/>
  <c r="O9" i="2" s="1"/>
  <c r="N15" i="2"/>
  <c r="N16" i="2" s="1"/>
  <c r="N42" i="2" s="1"/>
  <c r="N53" i="2" s="1"/>
  <c r="N8" i="3" s="1"/>
  <c r="M32" i="2"/>
  <c r="N30" i="2" s="1"/>
  <c r="M20" i="2"/>
  <c r="I35" i="3" l="1"/>
  <c r="I39" i="3" s="1"/>
  <c r="I43" i="3" s="1"/>
  <c r="E34" i="7"/>
  <c r="E33" i="7"/>
  <c r="N19" i="7"/>
  <c r="F29" i="7"/>
  <c r="H66" i="3"/>
  <c r="H70" i="3" s="1"/>
  <c r="H87" i="3" s="1"/>
  <c r="I83" i="3"/>
  <c r="I85" i="3" s="1"/>
  <c r="J8" i="6"/>
  <c r="J11" i="6" s="1"/>
  <c r="J32" i="3"/>
  <c r="J33" i="3" s="1"/>
  <c r="E22" i="7" s="1"/>
  <c r="K25" i="3"/>
  <c r="K40" i="3" s="1"/>
  <c r="K24" i="3"/>
  <c r="L17" i="6"/>
  <c r="K18" i="6"/>
  <c r="K45" i="3" s="1"/>
  <c r="K47" i="3" s="1"/>
  <c r="K27" i="6"/>
  <c r="K28" i="6" s="1"/>
  <c r="K41" i="3" s="1"/>
  <c r="K73" i="3"/>
  <c r="K75" i="3" s="1"/>
  <c r="L22" i="3"/>
  <c r="G29" i="7" s="1"/>
  <c r="L23" i="6"/>
  <c r="L63" i="3" s="1"/>
  <c r="L25" i="6"/>
  <c r="L24" i="6"/>
  <c r="L64" i="3" s="1"/>
  <c r="K118" i="2"/>
  <c r="K16" i="3"/>
  <c r="K19" i="3" s="1"/>
  <c r="K23" i="3" s="1"/>
  <c r="M76" i="2"/>
  <c r="M114" i="2" s="1"/>
  <c r="M15" i="3" s="1"/>
  <c r="L110" i="2"/>
  <c r="L116" i="2" s="1"/>
  <c r="L17" i="3" s="1"/>
  <c r="L19" i="3" s="1"/>
  <c r="L23" i="3" s="1"/>
  <c r="M108" i="2"/>
  <c r="M101" i="2"/>
  <c r="N74" i="2"/>
  <c r="N67" i="2"/>
  <c r="O71" i="2"/>
  <c r="O72" i="2"/>
  <c r="O70" i="2"/>
  <c r="O65" i="2"/>
  <c r="O63" i="2"/>
  <c r="O64" i="2"/>
  <c r="M26" i="2"/>
  <c r="M27" i="2" s="1"/>
  <c r="M43" i="2" s="1"/>
  <c r="M89" i="2"/>
  <c r="M87" i="2"/>
  <c r="M88" i="2"/>
  <c r="M82" i="2"/>
  <c r="M81" i="2"/>
  <c r="M80" i="2"/>
  <c r="O10" i="2"/>
  <c r="P8" i="2" s="1"/>
  <c r="P9" i="2" s="1"/>
  <c r="O15" i="2"/>
  <c r="O16" i="2" s="1"/>
  <c r="O42" i="2" s="1"/>
  <c r="O53" i="2" s="1"/>
  <c r="O8" i="3" s="1"/>
  <c r="N31" i="2"/>
  <c r="M21" i="2"/>
  <c r="N19" i="2" s="1"/>
  <c r="I95" i="3" l="1"/>
  <c r="D30" i="7"/>
  <c r="D31" i="7" s="1"/>
  <c r="D32" i="7" s="1"/>
  <c r="I55" i="3"/>
  <c r="I57" i="3" s="1"/>
  <c r="I62" i="3" s="1"/>
  <c r="J35" i="3"/>
  <c r="J83" i="3" s="1"/>
  <c r="K28" i="3"/>
  <c r="L18" i="6"/>
  <c r="L45" i="3" s="1"/>
  <c r="L47" i="3" s="1"/>
  <c r="L25" i="3"/>
  <c r="L40" i="3" s="1"/>
  <c r="K19" i="6"/>
  <c r="L24" i="3"/>
  <c r="L27" i="6"/>
  <c r="L28" i="6" s="1"/>
  <c r="L41" i="3" s="1"/>
  <c r="L73" i="3"/>
  <c r="L75" i="3" s="1"/>
  <c r="N76" i="2"/>
  <c r="N114" i="2" s="1"/>
  <c r="N15" i="3" s="1"/>
  <c r="J12" i="6"/>
  <c r="J49" i="3"/>
  <c r="J53" i="3" s="1"/>
  <c r="L118" i="2"/>
  <c r="M84" i="2"/>
  <c r="N37" i="2"/>
  <c r="N38" i="2" s="1"/>
  <c r="N44" i="2" s="1"/>
  <c r="N55" i="2" s="1"/>
  <c r="N10" i="3" s="1"/>
  <c r="N105" i="2"/>
  <c r="N106" i="2"/>
  <c r="N98" i="2"/>
  <c r="N104" i="2"/>
  <c r="N97" i="2"/>
  <c r="N99" i="2"/>
  <c r="M46" i="2"/>
  <c r="M57" i="2" s="1"/>
  <c r="M54" i="2"/>
  <c r="M9" i="3" s="1"/>
  <c r="M12" i="3" s="1"/>
  <c r="M110" i="2"/>
  <c r="M116" i="2" s="1"/>
  <c r="M17" i="3" s="1"/>
  <c r="P71" i="2"/>
  <c r="P72" i="2"/>
  <c r="P70" i="2"/>
  <c r="P64" i="2"/>
  <c r="P65" i="2"/>
  <c r="P63" i="2"/>
  <c r="M91" i="2"/>
  <c r="O67" i="2"/>
  <c r="O74" i="2"/>
  <c r="P10" i="2"/>
  <c r="Q8" i="2" s="1"/>
  <c r="Q9" i="2" s="1"/>
  <c r="P15" i="2"/>
  <c r="P16" i="2" s="1"/>
  <c r="P42" i="2" s="1"/>
  <c r="P53" i="2" s="1"/>
  <c r="P8" i="3" s="1"/>
  <c r="N32" i="2"/>
  <c r="O30" i="2" s="1"/>
  <c r="N20" i="2"/>
  <c r="F33" i="7" l="1"/>
  <c r="F34" i="7"/>
  <c r="J39" i="3"/>
  <c r="J43" i="3" s="1"/>
  <c r="J56" i="3"/>
  <c r="I66" i="3"/>
  <c r="I70" i="3" s="1"/>
  <c r="I87" i="3" s="1"/>
  <c r="K68" i="3"/>
  <c r="L16" i="6"/>
  <c r="L19" i="6" s="1"/>
  <c r="L28" i="3"/>
  <c r="M17" i="6"/>
  <c r="M22" i="3"/>
  <c r="M25" i="6"/>
  <c r="M73" i="3" s="1"/>
  <c r="M75" i="3" s="1"/>
  <c r="M23" i="6"/>
  <c r="M63" i="3" s="1"/>
  <c r="M24" i="6"/>
  <c r="M93" i="2"/>
  <c r="M115" i="2" s="1"/>
  <c r="M16" i="3" s="1"/>
  <c r="M19" i="3" s="1"/>
  <c r="M23" i="3" s="1"/>
  <c r="N108" i="2"/>
  <c r="K7" i="6"/>
  <c r="K9" i="6" s="1"/>
  <c r="J77" i="3"/>
  <c r="N101" i="2"/>
  <c r="P67" i="2"/>
  <c r="P74" i="2"/>
  <c r="Q72" i="2"/>
  <c r="Q70" i="2"/>
  <c r="Q71" i="2"/>
  <c r="Q65" i="2"/>
  <c r="Q64" i="2"/>
  <c r="Q63" i="2"/>
  <c r="N26" i="2"/>
  <c r="N27" i="2" s="1"/>
  <c r="N43" i="2" s="1"/>
  <c r="N89" i="2"/>
  <c r="N87" i="2"/>
  <c r="N88" i="2"/>
  <c r="N80" i="2"/>
  <c r="N82" i="2"/>
  <c r="N81" i="2"/>
  <c r="O76" i="2"/>
  <c r="O114" i="2" s="1"/>
  <c r="O15" i="3" s="1"/>
  <c r="Q10" i="2"/>
  <c r="R8" i="2" s="1"/>
  <c r="R9" i="2" s="1"/>
  <c r="Q15" i="2"/>
  <c r="Q16" i="2" s="1"/>
  <c r="Q42" i="2" s="1"/>
  <c r="Q53" i="2" s="1"/>
  <c r="Q8" i="3" s="1"/>
  <c r="O31" i="2"/>
  <c r="N21" i="2"/>
  <c r="O19" i="2" s="1"/>
  <c r="J95" i="3" l="1"/>
  <c r="E30" i="7"/>
  <c r="E31" i="7" s="1"/>
  <c r="E32" i="7" s="1"/>
  <c r="G33" i="7"/>
  <c r="G34" i="7"/>
  <c r="J55" i="3"/>
  <c r="J57" i="3" s="1"/>
  <c r="J62" i="3" s="1"/>
  <c r="J66" i="3" s="1"/>
  <c r="J70" i="3" s="1"/>
  <c r="J80" i="3"/>
  <c r="J85" i="3" s="1"/>
  <c r="M25" i="3"/>
  <c r="M40" i="3" s="1"/>
  <c r="M18" i="6"/>
  <c r="M45" i="3" s="1"/>
  <c r="M47" i="3" s="1"/>
  <c r="M16" i="6"/>
  <c r="L68" i="3"/>
  <c r="M24" i="3"/>
  <c r="M118" i="2"/>
  <c r="M27" i="6"/>
  <c r="M28" i="6" s="1"/>
  <c r="M41" i="3" s="1"/>
  <c r="M64" i="3"/>
  <c r="N110" i="2"/>
  <c r="N116" i="2" s="1"/>
  <c r="N17" i="3" s="1"/>
  <c r="Q67" i="2"/>
  <c r="K8" i="6"/>
  <c r="K10" i="6"/>
  <c r="P76" i="2"/>
  <c r="P114" i="2" s="1"/>
  <c r="P15" i="3" s="1"/>
  <c r="O37" i="2"/>
  <c r="O38" i="2" s="1"/>
  <c r="O44" i="2" s="1"/>
  <c r="O55" i="2" s="1"/>
  <c r="O10" i="3" s="1"/>
  <c r="O105" i="2"/>
  <c r="O106" i="2"/>
  <c r="O98" i="2"/>
  <c r="O104" i="2"/>
  <c r="O97" i="2"/>
  <c r="O99" i="2"/>
  <c r="N46" i="2"/>
  <c r="N57" i="2" s="1"/>
  <c r="N54" i="2"/>
  <c r="N9" i="3" s="1"/>
  <c r="N12" i="3" s="1"/>
  <c r="N84" i="2"/>
  <c r="R72" i="2"/>
  <c r="R70" i="2"/>
  <c r="R71" i="2"/>
  <c r="R65" i="2"/>
  <c r="R63" i="2"/>
  <c r="R64" i="2"/>
  <c r="Q74" i="2"/>
  <c r="N91" i="2"/>
  <c r="O32" i="2"/>
  <c r="P30" i="2" s="1"/>
  <c r="P31" i="2" s="1"/>
  <c r="R10" i="2"/>
  <c r="S8" i="2" s="1"/>
  <c r="S9" i="2" s="1"/>
  <c r="R15" i="2"/>
  <c r="R16" i="2" s="1"/>
  <c r="R42" i="2" s="1"/>
  <c r="R53" i="2" s="1"/>
  <c r="R8" i="3" s="1"/>
  <c r="O20" i="2"/>
  <c r="J87" i="3" l="1"/>
  <c r="K56" i="3"/>
  <c r="M28" i="3"/>
  <c r="M19" i="6"/>
  <c r="N16" i="6" s="1"/>
  <c r="N17" i="6"/>
  <c r="N22" i="3"/>
  <c r="N24" i="3" s="1"/>
  <c r="N23" i="6"/>
  <c r="N63" i="3" s="1"/>
  <c r="N25" i="6"/>
  <c r="N73" i="3" s="1"/>
  <c r="N75" i="3" s="1"/>
  <c r="N24" i="6"/>
  <c r="N93" i="2"/>
  <c r="N115" i="2" s="1"/>
  <c r="N16" i="3" s="1"/>
  <c r="N19" i="3" s="1"/>
  <c r="N23" i="3" s="1"/>
  <c r="Q76" i="2"/>
  <c r="Q114" i="2" s="1"/>
  <c r="Q15" i="3" s="1"/>
  <c r="K11" i="6"/>
  <c r="K30" i="3"/>
  <c r="P37" i="2"/>
  <c r="P38" i="2" s="1"/>
  <c r="P44" i="2" s="1"/>
  <c r="P55" i="2" s="1"/>
  <c r="P10" i="3" s="1"/>
  <c r="P106" i="2"/>
  <c r="P104" i="2"/>
  <c r="P99" i="2"/>
  <c r="P105" i="2"/>
  <c r="P98" i="2"/>
  <c r="P97" i="2"/>
  <c r="O101" i="2"/>
  <c r="O108" i="2"/>
  <c r="O26" i="2"/>
  <c r="O27" i="2" s="1"/>
  <c r="O43" i="2" s="1"/>
  <c r="O88" i="2"/>
  <c r="O87" i="2"/>
  <c r="O89" i="2"/>
  <c r="O80" i="2"/>
  <c r="O81" i="2"/>
  <c r="O82" i="2"/>
  <c r="S71" i="2"/>
  <c r="S70" i="2"/>
  <c r="S72" i="2"/>
  <c r="S64" i="2"/>
  <c r="S65" i="2"/>
  <c r="S63" i="2"/>
  <c r="R74" i="2"/>
  <c r="R67" i="2"/>
  <c r="S10" i="2"/>
  <c r="T8" i="2" s="1"/>
  <c r="T9" i="2" s="1"/>
  <c r="S15" i="2"/>
  <c r="S16" i="2" s="1"/>
  <c r="S42" i="2" s="1"/>
  <c r="S53" i="2" s="1"/>
  <c r="S8" i="3" s="1"/>
  <c r="O21" i="2"/>
  <c r="P19" i="2" s="1"/>
  <c r="P20" i="2" s="1"/>
  <c r="P32" i="2"/>
  <c r="Q30" i="2" s="1"/>
  <c r="K32" i="3" l="1"/>
  <c r="K33" i="3" s="1"/>
  <c r="F22" i="7" s="1"/>
  <c r="M68" i="3"/>
  <c r="N18" i="6"/>
  <c r="N45" i="3" s="1"/>
  <c r="N47" i="3" s="1"/>
  <c r="N25" i="3"/>
  <c r="N40" i="3" s="1"/>
  <c r="N118" i="2"/>
  <c r="N27" i="6"/>
  <c r="N28" i="6" s="1"/>
  <c r="N41" i="3" s="1"/>
  <c r="N64" i="3"/>
  <c r="K12" i="6"/>
  <c r="K49" i="3"/>
  <c r="K53" i="3" s="1"/>
  <c r="O110" i="2"/>
  <c r="O116" i="2" s="1"/>
  <c r="O17" i="3" s="1"/>
  <c r="P108" i="2"/>
  <c r="O46" i="2"/>
  <c r="O57" i="2" s="1"/>
  <c r="O54" i="2"/>
  <c r="O9" i="3" s="1"/>
  <c r="O12" i="3" s="1"/>
  <c r="P101" i="2"/>
  <c r="O91" i="2"/>
  <c r="P26" i="2"/>
  <c r="P27" i="2" s="1"/>
  <c r="P43" i="2" s="1"/>
  <c r="P88" i="2"/>
  <c r="P81" i="2"/>
  <c r="P89" i="2"/>
  <c r="P87" i="2"/>
  <c r="P82" i="2"/>
  <c r="P80" i="2"/>
  <c r="R76" i="2"/>
  <c r="R114" i="2" s="1"/>
  <c r="T71" i="2"/>
  <c r="T72" i="2"/>
  <c r="T70" i="2"/>
  <c r="T64" i="2"/>
  <c r="T65" i="2"/>
  <c r="T63" i="2"/>
  <c r="S67" i="2"/>
  <c r="S74" i="2"/>
  <c r="O84" i="2"/>
  <c r="T10" i="2"/>
  <c r="U8" i="2" s="1"/>
  <c r="U9" i="2" s="1"/>
  <c r="T15" i="2"/>
  <c r="T16" i="2" s="1"/>
  <c r="T42" i="2" s="1"/>
  <c r="T53" i="2" s="1"/>
  <c r="T8" i="3" s="1"/>
  <c r="Q31" i="2"/>
  <c r="P21" i="2"/>
  <c r="Q19" i="2" s="1"/>
  <c r="K35" i="3" l="1"/>
  <c r="N19" i="6"/>
  <c r="N68" i="3" s="1"/>
  <c r="N28" i="3"/>
  <c r="O17" i="6"/>
  <c r="O22" i="3"/>
  <c r="O24" i="6"/>
  <c r="O64" i="3" s="1"/>
  <c r="O25" i="6"/>
  <c r="O23" i="6"/>
  <c r="O63" i="3" s="1"/>
  <c r="P84" i="2"/>
  <c r="L7" i="6"/>
  <c r="L9" i="6" s="1"/>
  <c r="K77" i="3"/>
  <c r="P110" i="2"/>
  <c r="P116" i="2" s="1"/>
  <c r="P17" i="3" s="1"/>
  <c r="Q37" i="2"/>
  <c r="Q38" i="2" s="1"/>
  <c r="Q44" i="2" s="1"/>
  <c r="Q55" i="2" s="1"/>
  <c r="Q10" i="3" s="1"/>
  <c r="Q106" i="2"/>
  <c r="Q104" i="2"/>
  <c r="Q105" i="2"/>
  <c r="Q99" i="2"/>
  <c r="Q98" i="2"/>
  <c r="Q97" i="2"/>
  <c r="R15" i="3"/>
  <c r="O24" i="3"/>
  <c r="P46" i="2"/>
  <c r="P57" i="2" s="1"/>
  <c r="P54" i="2"/>
  <c r="P9" i="3" s="1"/>
  <c r="P12" i="3" s="1"/>
  <c r="T74" i="2"/>
  <c r="T67" i="2"/>
  <c r="U72" i="2"/>
  <c r="U70" i="2"/>
  <c r="U71" i="2"/>
  <c r="U65" i="2"/>
  <c r="U64" i="2"/>
  <c r="U63" i="2"/>
  <c r="P91" i="2"/>
  <c r="S76" i="2"/>
  <c r="S114" i="2" s="1"/>
  <c r="S15" i="3" s="1"/>
  <c r="O93" i="2"/>
  <c r="O115" i="2" s="1"/>
  <c r="U10" i="2"/>
  <c r="V8" i="2" s="1"/>
  <c r="V9" i="2" s="1"/>
  <c r="U15" i="2"/>
  <c r="U16" i="2" s="1"/>
  <c r="U42" i="2" s="1"/>
  <c r="U53" i="2" s="1"/>
  <c r="U8" i="3" s="1"/>
  <c r="Q32" i="2"/>
  <c r="R30" i="2" s="1"/>
  <c r="Q20" i="2"/>
  <c r="K83" i="3" l="1"/>
  <c r="K39" i="3"/>
  <c r="K43" i="3" s="1"/>
  <c r="K80" i="3"/>
  <c r="O16" i="6"/>
  <c r="P93" i="2"/>
  <c r="P115" i="2" s="1"/>
  <c r="P16" i="3" s="1"/>
  <c r="P19" i="3" s="1"/>
  <c r="P23" i="3" s="1"/>
  <c r="O25" i="3"/>
  <c r="O40" i="3" s="1"/>
  <c r="P17" i="6"/>
  <c r="O18" i="6"/>
  <c r="O45" i="3" s="1"/>
  <c r="O47" i="3" s="1"/>
  <c r="P22" i="3"/>
  <c r="P24" i="6"/>
  <c r="P64" i="3" s="1"/>
  <c r="P23" i="6"/>
  <c r="P63" i="3" s="1"/>
  <c r="P25" i="6"/>
  <c r="O27" i="6"/>
  <c r="O28" i="6" s="1"/>
  <c r="O41" i="3" s="1"/>
  <c r="O73" i="3"/>
  <c r="O75" i="3" s="1"/>
  <c r="Q101" i="2"/>
  <c r="L8" i="6"/>
  <c r="L10" i="6"/>
  <c r="Q108" i="2"/>
  <c r="O118" i="2"/>
  <c r="O16" i="3"/>
  <c r="O19" i="3" s="1"/>
  <c r="O23" i="3" s="1"/>
  <c r="T76" i="2"/>
  <c r="T114" i="2" s="1"/>
  <c r="V72" i="2"/>
  <c r="V70" i="2"/>
  <c r="V71" i="2"/>
  <c r="V63" i="2"/>
  <c r="V65" i="2"/>
  <c r="V64" i="2"/>
  <c r="U67" i="2"/>
  <c r="U74" i="2"/>
  <c r="Q26" i="2"/>
  <c r="Q27" i="2" s="1"/>
  <c r="Q43" i="2" s="1"/>
  <c r="Q89" i="2"/>
  <c r="Q87" i="2"/>
  <c r="Q88" i="2"/>
  <c r="Q81" i="2"/>
  <c r="Q82" i="2"/>
  <c r="Q80" i="2"/>
  <c r="V10" i="2"/>
  <c r="V15" i="2"/>
  <c r="V16" i="2" s="1"/>
  <c r="V42" i="2" s="1"/>
  <c r="V53" i="2" s="1"/>
  <c r="V8" i="3" s="1"/>
  <c r="R31" i="2"/>
  <c r="Q21" i="2"/>
  <c r="R19" i="2" s="1"/>
  <c r="F30" i="7" l="1"/>
  <c r="F31" i="7" s="1"/>
  <c r="F32" i="7" s="1"/>
  <c r="K85" i="3"/>
  <c r="K95" i="3"/>
  <c r="K55" i="3"/>
  <c r="K57" i="3" s="1"/>
  <c r="K62" i="3" s="1"/>
  <c r="P118" i="2"/>
  <c r="O28" i="3"/>
  <c r="P18" i="6"/>
  <c r="P45" i="3" s="1"/>
  <c r="P47" i="3" s="1"/>
  <c r="O19" i="6"/>
  <c r="P25" i="3"/>
  <c r="P40" i="3" s="1"/>
  <c r="P24" i="3"/>
  <c r="P27" i="6"/>
  <c r="P28" i="6" s="1"/>
  <c r="P41" i="3" s="1"/>
  <c r="P73" i="3"/>
  <c r="P75" i="3" s="1"/>
  <c r="Q110" i="2"/>
  <c r="Q116" i="2" s="1"/>
  <c r="Q17" i="3" s="1"/>
  <c r="L11" i="6"/>
  <c r="L30" i="3"/>
  <c r="L32" i="3" s="1"/>
  <c r="T15" i="3"/>
  <c r="Q84" i="2"/>
  <c r="Q46" i="2"/>
  <c r="Q57" i="2" s="1"/>
  <c r="Q54" i="2"/>
  <c r="Q9" i="3" s="1"/>
  <c r="Q12" i="3" s="1"/>
  <c r="R37" i="2"/>
  <c r="R38" i="2" s="1"/>
  <c r="R44" i="2" s="1"/>
  <c r="R55" i="2" s="1"/>
  <c r="R10" i="3" s="1"/>
  <c r="R105" i="2"/>
  <c r="R104" i="2"/>
  <c r="R106" i="2"/>
  <c r="R98" i="2"/>
  <c r="R99" i="2"/>
  <c r="R97" i="2"/>
  <c r="U76" i="2"/>
  <c r="U114" i="2" s="1"/>
  <c r="V67" i="2"/>
  <c r="V74" i="2"/>
  <c r="Q91" i="2"/>
  <c r="R32" i="2"/>
  <c r="S30" i="2" s="1"/>
  <c r="R20" i="2"/>
  <c r="K66" i="3" l="1"/>
  <c r="K70" i="3" s="1"/>
  <c r="K87" i="3" s="1"/>
  <c r="L56" i="3"/>
  <c r="P16" i="6"/>
  <c r="P19" i="6" s="1"/>
  <c r="O68" i="3"/>
  <c r="P28" i="3"/>
  <c r="Q17" i="6"/>
  <c r="Q22" i="3"/>
  <c r="Q24" i="3" s="1"/>
  <c r="Q25" i="6"/>
  <c r="Q73" i="3" s="1"/>
  <c r="Q75" i="3" s="1"/>
  <c r="Q23" i="6"/>
  <c r="Q63" i="3" s="1"/>
  <c r="Q24" i="6"/>
  <c r="Q93" i="2"/>
  <c r="Q115" i="2" s="1"/>
  <c r="Q16" i="3" s="1"/>
  <c r="Q19" i="3" s="1"/>
  <c r="Q23" i="3" s="1"/>
  <c r="L33" i="3"/>
  <c r="V76" i="2"/>
  <c r="V114" i="2" s="1"/>
  <c r="V15" i="3" s="1"/>
  <c r="L12" i="6"/>
  <c r="L49" i="3"/>
  <c r="L53" i="3" s="1"/>
  <c r="U15" i="3"/>
  <c r="R101" i="2"/>
  <c r="R108" i="2"/>
  <c r="R26" i="2"/>
  <c r="R27" i="2" s="1"/>
  <c r="R43" i="2" s="1"/>
  <c r="R89" i="2"/>
  <c r="R87" i="2"/>
  <c r="R80" i="2"/>
  <c r="R88" i="2"/>
  <c r="R82" i="2"/>
  <c r="R81" i="2"/>
  <c r="S31" i="2"/>
  <c r="R21" i="2"/>
  <c r="S19" i="2" s="1"/>
  <c r="L35" i="3" l="1"/>
  <c r="L83" i="3" s="1"/>
  <c r="G22" i="7"/>
  <c r="Q118" i="2"/>
  <c r="Q18" i="6"/>
  <c r="Q45" i="3" s="1"/>
  <c r="Q47" i="3" s="1"/>
  <c r="Q25" i="3"/>
  <c r="Q40" i="3" s="1"/>
  <c r="Q16" i="6"/>
  <c r="P68" i="3"/>
  <c r="Q27" i="6"/>
  <c r="Q28" i="6" s="1"/>
  <c r="Q41" i="3" s="1"/>
  <c r="Q64" i="3"/>
  <c r="L39" i="3"/>
  <c r="L43" i="3" s="1"/>
  <c r="M7" i="6"/>
  <c r="M9" i="6" s="1"/>
  <c r="L77" i="3"/>
  <c r="L80" i="3" s="1"/>
  <c r="R46" i="2"/>
  <c r="R57" i="2" s="1"/>
  <c r="R54" i="2"/>
  <c r="R9" i="3" s="1"/>
  <c r="R12" i="3" s="1"/>
  <c r="S37" i="2"/>
  <c r="S38" i="2" s="1"/>
  <c r="S44" i="2" s="1"/>
  <c r="S55" i="2" s="1"/>
  <c r="S10" i="3" s="1"/>
  <c r="S105" i="2"/>
  <c r="S106" i="2"/>
  <c r="S98" i="2"/>
  <c r="S104" i="2"/>
  <c r="S99" i="2"/>
  <c r="S97" i="2"/>
  <c r="R110" i="2"/>
  <c r="R116" i="2" s="1"/>
  <c r="R17" i="3" s="1"/>
  <c r="R91" i="2"/>
  <c r="R84" i="2"/>
  <c r="S32" i="2"/>
  <c r="T30" i="2" s="1"/>
  <c r="T31" i="2" s="1"/>
  <c r="S20" i="2"/>
  <c r="L95" i="3" l="1"/>
  <c r="G30" i="7"/>
  <c r="G31" i="7" s="1"/>
  <c r="G32" i="7" s="1"/>
  <c r="L55" i="3"/>
  <c r="L57" i="3" s="1"/>
  <c r="L62" i="3" s="1"/>
  <c r="M56" i="3" s="1"/>
  <c r="Q28" i="3"/>
  <c r="Q19" i="6"/>
  <c r="R16" i="6" s="1"/>
  <c r="R17" i="6"/>
  <c r="R22" i="3"/>
  <c r="R25" i="6"/>
  <c r="R73" i="3" s="1"/>
  <c r="R75" i="3" s="1"/>
  <c r="R24" i="6"/>
  <c r="R23" i="6"/>
  <c r="R63" i="3" s="1"/>
  <c r="L85" i="3"/>
  <c r="M8" i="6"/>
  <c r="M10" i="6"/>
  <c r="S101" i="2"/>
  <c r="R93" i="2"/>
  <c r="R115" i="2" s="1"/>
  <c r="R16" i="3" s="1"/>
  <c r="R19" i="3" s="1"/>
  <c r="R23" i="3" s="1"/>
  <c r="S108" i="2"/>
  <c r="T37" i="2"/>
  <c r="T38" i="2" s="1"/>
  <c r="T44" i="2" s="1"/>
  <c r="T55" i="2" s="1"/>
  <c r="T10" i="3" s="1"/>
  <c r="T106" i="2"/>
  <c r="T104" i="2"/>
  <c r="T105" i="2"/>
  <c r="T99" i="2"/>
  <c r="T98" i="2"/>
  <c r="T97" i="2"/>
  <c r="S26" i="2"/>
  <c r="S27" i="2" s="1"/>
  <c r="S43" i="2" s="1"/>
  <c r="S88" i="2"/>
  <c r="S89" i="2"/>
  <c r="S87" i="2"/>
  <c r="S82" i="2"/>
  <c r="S81" i="2"/>
  <c r="S80" i="2"/>
  <c r="S21" i="2"/>
  <c r="T19" i="2" s="1"/>
  <c r="T20" i="2" s="1"/>
  <c r="T32" i="2"/>
  <c r="U30" i="2" s="1"/>
  <c r="U31" i="2" s="1"/>
  <c r="L66" i="3" l="1"/>
  <c r="L70" i="3" s="1"/>
  <c r="L87" i="3" s="1"/>
  <c r="Q68" i="3"/>
  <c r="R25" i="3"/>
  <c r="R40" i="3" s="1"/>
  <c r="R18" i="6"/>
  <c r="R45" i="3" s="1"/>
  <c r="R47" i="3" s="1"/>
  <c r="R24" i="3"/>
  <c r="R27" i="6"/>
  <c r="R28" i="6" s="1"/>
  <c r="R41" i="3" s="1"/>
  <c r="R64" i="3"/>
  <c r="R118" i="2"/>
  <c r="M11" i="6"/>
  <c r="M30" i="3"/>
  <c r="M32" i="3" s="1"/>
  <c r="M33" i="3" s="1"/>
  <c r="M35" i="3" s="1"/>
  <c r="M83" i="3" s="1"/>
  <c r="S110" i="2"/>
  <c r="S116" i="2" s="1"/>
  <c r="S17" i="3" s="1"/>
  <c r="T101" i="2"/>
  <c r="T108" i="2"/>
  <c r="S46" i="2"/>
  <c r="S57" i="2" s="1"/>
  <c r="S54" i="2"/>
  <c r="S9" i="3" s="1"/>
  <c r="S12" i="3" s="1"/>
  <c r="S91" i="2"/>
  <c r="U37" i="2"/>
  <c r="U38" i="2" s="1"/>
  <c r="U44" i="2" s="1"/>
  <c r="U55" i="2" s="1"/>
  <c r="U10" i="3" s="1"/>
  <c r="U106" i="2"/>
  <c r="U104" i="2"/>
  <c r="U105" i="2"/>
  <c r="U99" i="2"/>
  <c r="U97" i="2"/>
  <c r="U98" i="2"/>
  <c r="S84" i="2"/>
  <c r="S93" i="2" s="1"/>
  <c r="S115" i="2" s="1"/>
  <c r="T26" i="2"/>
  <c r="T27" i="2" s="1"/>
  <c r="T43" i="2" s="1"/>
  <c r="T88" i="2"/>
  <c r="T89" i="2"/>
  <c r="T87" i="2"/>
  <c r="T81" i="2"/>
  <c r="T80" i="2"/>
  <c r="T82" i="2"/>
  <c r="U32" i="2"/>
  <c r="V30" i="2" s="1"/>
  <c r="T21" i="2"/>
  <c r="U19" i="2" s="1"/>
  <c r="R19" i="6" l="1"/>
  <c r="S16" i="6" s="1"/>
  <c r="T110" i="2"/>
  <c r="T116" i="2" s="1"/>
  <c r="T17" i="3" s="1"/>
  <c r="R28" i="3"/>
  <c r="S17" i="6"/>
  <c r="S22" i="3"/>
  <c r="S24" i="3" s="1"/>
  <c r="S24" i="6"/>
  <c r="S64" i="3" s="1"/>
  <c r="S23" i="6"/>
  <c r="S63" i="3" s="1"/>
  <c r="S25" i="6"/>
  <c r="M39" i="3"/>
  <c r="M43" i="3" s="1"/>
  <c r="M12" i="6"/>
  <c r="M49" i="3"/>
  <c r="M53" i="3" s="1"/>
  <c r="T46" i="2"/>
  <c r="T57" i="2" s="1"/>
  <c r="T54" i="2"/>
  <c r="T9" i="3" s="1"/>
  <c r="T12" i="3" s="1"/>
  <c r="S118" i="2"/>
  <c r="S16" i="3"/>
  <c r="S19" i="3" s="1"/>
  <c r="S23" i="3" s="1"/>
  <c r="U108" i="2"/>
  <c r="U101" i="2"/>
  <c r="T91" i="2"/>
  <c r="T84" i="2"/>
  <c r="V31" i="2"/>
  <c r="U20" i="2"/>
  <c r="M95" i="3" l="1"/>
  <c r="R68" i="3"/>
  <c r="S25" i="3"/>
  <c r="S40" i="3" s="1"/>
  <c r="T17" i="6"/>
  <c r="S18" i="6"/>
  <c r="S45" i="3" s="1"/>
  <c r="S47" i="3" s="1"/>
  <c r="T22" i="3"/>
  <c r="T24" i="3" s="1"/>
  <c r="T23" i="6"/>
  <c r="T63" i="3" s="1"/>
  <c r="T24" i="6"/>
  <c r="T64" i="3" s="1"/>
  <c r="T25" i="6"/>
  <c r="T93" i="2"/>
  <c r="T115" i="2" s="1"/>
  <c r="T16" i="3" s="1"/>
  <c r="T19" i="3" s="1"/>
  <c r="T23" i="3" s="1"/>
  <c r="S27" i="6"/>
  <c r="S28" i="6" s="1"/>
  <c r="S41" i="3" s="1"/>
  <c r="S73" i="3"/>
  <c r="S75" i="3" s="1"/>
  <c r="U110" i="2"/>
  <c r="U116" i="2" s="1"/>
  <c r="U17" i="3" s="1"/>
  <c r="M55" i="3"/>
  <c r="M57" i="3" s="1"/>
  <c r="M62" i="3" s="1"/>
  <c r="N56" i="3" s="1"/>
  <c r="N7" i="6"/>
  <c r="N9" i="6" s="1"/>
  <c r="M77" i="3"/>
  <c r="M80" i="3" s="1"/>
  <c r="M85" i="3" s="1"/>
  <c r="V37" i="2"/>
  <c r="V38" i="2" s="1"/>
  <c r="V44" i="2" s="1"/>
  <c r="V55" i="2" s="1"/>
  <c r="V10" i="3" s="1"/>
  <c r="V105" i="2"/>
  <c r="V106" i="2"/>
  <c r="V98" i="2"/>
  <c r="V104" i="2"/>
  <c r="V99" i="2"/>
  <c r="V97" i="2"/>
  <c r="U26" i="2"/>
  <c r="U27" i="2" s="1"/>
  <c r="U43" i="2" s="1"/>
  <c r="U89" i="2"/>
  <c r="U87" i="2"/>
  <c r="U88" i="2"/>
  <c r="U80" i="2"/>
  <c r="U82" i="2"/>
  <c r="U81" i="2"/>
  <c r="V32" i="2"/>
  <c r="U21" i="2"/>
  <c r="V19" i="2" s="1"/>
  <c r="S28" i="3" l="1"/>
  <c r="T25" i="3"/>
  <c r="T40" i="3" s="1"/>
  <c r="S19" i="6"/>
  <c r="S68" i="3" s="1"/>
  <c r="T18" i="6"/>
  <c r="T45" i="3" s="1"/>
  <c r="T47" i="3" s="1"/>
  <c r="T118" i="2"/>
  <c r="T27" i="6"/>
  <c r="T28" i="6" s="1"/>
  <c r="T41" i="3" s="1"/>
  <c r="T73" i="3"/>
  <c r="T75" i="3" s="1"/>
  <c r="M66" i="3"/>
  <c r="M70" i="3" s="1"/>
  <c r="M87" i="3" s="1"/>
  <c r="N8" i="6"/>
  <c r="N10" i="6"/>
  <c r="V108" i="2"/>
  <c r="U46" i="2"/>
  <c r="U57" i="2" s="1"/>
  <c r="U54" i="2"/>
  <c r="U9" i="3" s="1"/>
  <c r="U12" i="3" s="1"/>
  <c r="V101" i="2"/>
  <c r="U91" i="2"/>
  <c r="U84" i="2"/>
  <c r="V20" i="2"/>
  <c r="T28" i="3" l="1"/>
  <c r="T16" i="6"/>
  <c r="T19" i="6" s="1"/>
  <c r="U17" i="6"/>
  <c r="U18" i="6" s="1"/>
  <c r="U45" i="3" s="1"/>
  <c r="U47" i="3" s="1"/>
  <c r="U22" i="3"/>
  <c r="U25" i="6"/>
  <c r="U73" i="3" s="1"/>
  <c r="U75" i="3" s="1"/>
  <c r="U24" i="6"/>
  <c r="U23" i="6"/>
  <c r="U63" i="3" s="1"/>
  <c r="N11" i="6"/>
  <c r="N30" i="3"/>
  <c r="N32" i="3" s="1"/>
  <c r="N33" i="3" s="1"/>
  <c r="N35" i="3" s="1"/>
  <c r="N83" i="3" s="1"/>
  <c r="V110" i="2"/>
  <c r="V116" i="2" s="1"/>
  <c r="V17" i="3" s="1"/>
  <c r="V26" i="2"/>
  <c r="V27" i="2" s="1"/>
  <c r="V43" i="2" s="1"/>
  <c r="V89" i="2"/>
  <c r="V87" i="2"/>
  <c r="V80" i="2"/>
  <c r="V88" i="2"/>
  <c r="V81" i="2"/>
  <c r="V82" i="2"/>
  <c r="U93" i="2"/>
  <c r="U115" i="2" s="1"/>
  <c r="V21" i="2"/>
  <c r="U25" i="3" l="1"/>
  <c r="U40" i="3" s="1"/>
  <c r="U16" i="6"/>
  <c r="U19" i="6" s="1"/>
  <c r="T68" i="3"/>
  <c r="U24" i="3"/>
  <c r="U27" i="6"/>
  <c r="U28" i="6" s="1"/>
  <c r="U41" i="3" s="1"/>
  <c r="U64" i="3"/>
  <c r="N39" i="3"/>
  <c r="N43" i="3" s="1"/>
  <c r="V84" i="2"/>
  <c r="N12" i="6"/>
  <c r="N49" i="3"/>
  <c r="N53" i="3" s="1"/>
  <c r="U16" i="3"/>
  <c r="U19" i="3" s="1"/>
  <c r="U23" i="3" s="1"/>
  <c r="U118" i="2"/>
  <c r="V46" i="2"/>
  <c r="V54" i="2"/>
  <c r="V9" i="3" s="1"/>
  <c r="V12" i="3" s="1"/>
  <c r="V91" i="2"/>
  <c r="N95" i="3" l="1"/>
  <c r="V57" i="2"/>
  <c r="V17" i="6"/>
  <c r="V18" i="6" s="1"/>
  <c r="V45" i="3" s="1"/>
  <c r="V47" i="3" s="1"/>
  <c r="V16" i="6"/>
  <c r="U68" i="3"/>
  <c r="U28" i="3"/>
  <c r="N55" i="3"/>
  <c r="N57" i="3" s="1"/>
  <c r="N62" i="3" s="1"/>
  <c r="N66" i="3" s="1"/>
  <c r="N70" i="3" s="1"/>
  <c r="V22" i="3"/>
  <c r="H29" i="7" s="1"/>
  <c r="V24" i="6"/>
  <c r="V25" i="6"/>
  <c r="V73" i="3" s="1"/>
  <c r="V75" i="3" s="1"/>
  <c r="V23" i="6"/>
  <c r="V63" i="3" s="1"/>
  <c r="V93" i="2"/>
  <c r="V115" i="2" s="1"/>
  <c r="V16" i="3" s="1"/>
  <c r="V19" i="3" s="1"/>
  <c r="V23" i="3" s="1"/>
  <c r="O7" i="6"/>
  <c r="O9" i="6" s="1"/>
  <c r="N77" i="3"/>
  <c r="N80" i="3" s="1"/>
  <c r="N85" i="3" s="1"/>
  <c r="V25" i="3" l="1"/>
  <c r="V40" i="3" s="1"/>
  <c r="V19" i="6"/>
  <c r="V68" i="3" s="1"/>
  <c r="V24" i="3"/>
  <c r="O56" i="3"/>
  <c r="V118" i="2"/>
  <c r="V27" i="6"/>
  <c r="V28" i="6" s="1"/>
  <c r="V41" i="3" s="1"/>
  <c r="V64" i="3"/>
  <c r="N87" i="3"/>
  <c r="O8" i="6"/>
  <c r="O10" i="6"/>
  <c r="V28" i="3" l="1"/>
  <c r="O11" i="6"/>
  <c r="O30" i="3"/>
  <c r="O32" i="3" s="1"/>
  <c r="O33" i="3" s="1"/>
  <c r="O35" i="3" s="1"/>
  <c r="O83" i="3" s="1"/>
  <c r="O39" i="3" l="1"/>
  <c r="O43" i="3" s="1"/>
  <c r="O12" i="6"/>
  <c r="O49" i="3"/>
  <c r="O53" i="3" s="1"/>
  <c r="O95" i="3" l="1"/>
  <c r="O55" i="3"/>
  <c r="O57" i="3" s="1"/>
  <c r="O62" i="3" s="1"/>
  <c r="O66" i="3" s="1"/>
  <c r="O70" i="3" s="1"/>
  <c r="P7" i="6"/>
  <c r="P9" i="6" s="1"/>
  <c r="O77" i="3"/>
  <c r="O80" i="3" s="1"/>
  <c r="O85" i="3" s="1"/>
  <c r="P56" i="3" l="1"/>
  <c r="O87" i="3"/>
  <c r="P8" i="6"/>
  <c r="P10" i="6"/>
  <c r="P11" i="6" l="1"/>
  <c r="P30" i="3"/>
  <c r="P32" i="3" s="1"/>
  <c r="P33" i="3" l="1"/>
  <c r="P35" i="3" s="1"/>
  <c r="P83" i="3" s="1"/>
  <c r="P12" i="6"/>
  <c r="P49" i="3"/>
  <c r="P53" i="3" s="1"/>
  <c r="P39" i="3" l="1"/>
  <c r="P43" i="3" s="1"/>
  <c r="P95" i="3" s="1"/>
  <c r="Q7" i="6"/>
  <c r="Q9" i="6" s="1"/>
  <c r="P77" i="3"/>
  <c r="P80" i="3" s="1"/>
  <c r="P55" i="3" l="1"/>
  <c r="P57" i="3" s="1"/>
  <c r="P62" i="3" s="1"/>
  <c r="Q56" i="3" s="1"/>
  <c r="P85" i="3"/>
  <c r="Q8" i="6"/>
  <c r="Q10" i="6"/>
  <c r="P66" i="3" l="1"/>
  <c r="P70" i="3" s="1"/>
  <c r="P87" i="3" s="1"/>
  <c r="Q11" i="6"/>
  <c r="Q30" i="3"/>
  <c r="Q32" i="3" s="1"/>
  <c r="Q33" i="3" s="1"/>
  <c r="Q35" i="3" s="1"/>
  <c r="Q83" i="3" s="1"/>
  <c r="Q39" i="3" l="1"/>
  <c r="Q43" i="3" s="1"/>
  <c r="Q12" i="6"/>
  <c r="Q49" i="3"/>
  <c r="Q53" i="3" s="1"/>
  <c r="Q95" i="3" l="1"/>
  <c r="Q55" i="3"/>
  <c r="Q57" i="3" s="1"/>
  <c r="Q62" i="3" s="1"/>
  <c r="Q66" i="3" s="1"/>
  <c r="Q70" i="3" s="1"/>
  <c r="R7" i="6"/>
  <c r="R9" i="6" s="1"/>
  <c r="Q77" i="3"/>
  <c r="Q80" i="3" s="1"/>
  <c r="Q85" i="3" s="1"/>
  <c r="R56" i="3" l="1"/>
  <c r="Q87" i="3"/>
  <c r="R8" i="6"/>
  <c r="R10" i="6"/>
  <c r="R11" i="6" l="1"/>
  <c r="R30" i="3"/>
  <c r="R32" i="3" s="1"/>
  <c r="R33" i="3" l="1"/>
  <c r="R35" i="3" s="1"/>
  <c r="R83" i="3" s="1"/>
  <c r="R12" i="6"/>
  <c r="R49" i="3"/>
  <c r="R53" i="3" s="1"/>
  <c r="R39" i="3" l="1"/>
  <c r="R43" i="3" s="1"/>
  <c r="R95" i="3" s="1"/>
  <c r="S7" i="6"/>
  <c r="S9" i="6" s="1"/>
  <c r="R77" i="3"/>
  <c r="R80" i="3" s="1"/>
  <c r="R85" i="3" s="1"/>
  <c r="R55" i="3" l="1"/>
  <c r="R57" i="3" s="1"/>
  <c r="R62" i="3" s="1"/>
  <c r="S56" i="3" s="1"/>
  <c r="S8" i="6"/>
  <c r="S10" i="6"/>
  <c r="R66" i="3" l="1"/>
  <c r="R70" i="3" s="1"/>
  <c r="R87" i="3" s="1"/>
  <c r="S11" i="6"/>
  <c r="S30" i="3"/>
  <c r="S32" i="3" s="1"/>
  <c r="S33" i="3" s="1"/>
  <c r="S35" i="3" s="1"/>
  <c r="S83" i="3" s="1"/>
  <c r="S39" i="3" l="1"/>
  <c r="S43" i="3" s="1"/>
  <c r="S12" i="6"/>
  <c r="S49" i="3"/>
  <c r="S53" i="3" s="1"/>
  <c r="S95" i="3" l="1"/>
  <c r="S55" i="3"/>
  <c r="S57" i="3" s="1"/>
  <c r="S62" i="3" s="1"/>
  <c r="S66" i="3" s="1"/>
  <c r="S70" i="3" s="1"/>
  <c r="T7" i="6"/>
  <c r="T9" i="6" s="1"/>
  <c r="S77" i="3"/>
  <c r="S80" i="3" s="1"/>
  <c r="S85" i="3" s="1"/>
  <c r="T56" i="3" l="1"/>
  <c r="S87" i="3"/>
  <c r="T8" i="6"/>
  <c r="T10" i="6"/>
  <c r="T11" i="6" l="1"/>
  <c r="T30" i="3"/>
  <c r="T32" i="3" s="1"/>
  <c r="T33" i="3" l="1"/>
  <c r="T35" i="3" s="1"/>
  <c r="T83" i="3" s="1"/>
  <c r="T12" i="6"/>
  <c r="T49" i="3"/>
  <c r="T53" i="3" s="1"/>
  <c r="T39" i="3" l="1"/>
  <c r="T43" i="3" s="1"/>
  <c r="T95" i="3" s="1"/>
  <c r="U7" i="6"/>
  <c r="U9" i="6" s="1"/>
  <c r="T77" i="3"/>
  <c r="T80" i="3" s="1"/>
  <c r="T55" i="3" l="1"/>
  <c r="T57" i="3" s="1"/>
  <c r="T62" i="3" s="1"/>
  <c r="U56" i="3" s="1"/>
  <c r="T85" i="3"/>
  <c r="U8" i="6"/>
  <c r="U10" i="6"/>
  <c r="T66" i="3" l="1"/>
  <c r="T70" i="3" s="1"/>
  <c r="T87" i="3" s="1"/>
  <c r="U11" i="6"/>
  <c r="U30" i="3"/>
  <c r="U32" i="3" s="1"/>
  <c r="U33" i="3" s="1"/>
  <c r="U35" i="3" s="1"/>
  <c r="U83" i="3" s="1"/>
  <c r="U39" i="3" l="1"/>
  <c r="U43" i="3" s="1"/>
  <c r="U12" i="6"/>
  <c r="U49" i="3"/>
  <c r="U53" i="3" s="1"/>
  <c r="U95" i="3" l="1"/>
  <c r="U55" i="3"/>
  <c r="U57" i="3" s="1"/>
  <c r="U62" i="3" s="1"/>
  <c r="V56" i="3" s="1"/>
  <c r="V7" i="6"/>
  <c r="V9" i="6" s="1"/>
  <c r="U77" i="3"/>
  <c r="U80" i="3" s="1"/>
  <c r="U85" i="3" s="1"/>
  <c r="U66" i="3" l="1"/>
  <c r="U70" i="3" s="1"/>
  <c r="U87" i="3" s="1"/>
  <c r="V8" i="6"/>
  <c r="V10" i="6"/>
  <c r="V11" i="6" l="1"/>
  <c r="V30" i="3"/>
  <c r="V32" i="3" s="1"/>
  <c r="V33" i="3" s="1"/>
  <c r="V35" i="3" s="1"/>
  <c r="V83" i="3" s="1"/>
  <c r="V39" i="3" l="1"/>
  <c r="V43" i="3" s="1"/>
  <c r="V12" i="6"/>
  <c r="V77" i="3" s="1"/>
  <c r="V80" i="3" s="1"/>
  <c r="V85" i="3" s="1"/>
  <c r="V49" i="3"/>
  <c r="V53" i="3" s="1"/>
  <c r="V95" i="3" l="1"/>
  <c r="E101" i="3" s="1"/>
  <c r="N18" i="7" s="1"/>
  <c r="H30" i="7"/>
  <c r="H31" i="7" s="1"/>
  <c r="H32" i="7" s="1"/>
  <c r="V55" i="3"/>
  <c r="V57" i="3" s="1"/>
  <c r="V62" i="3" s="1"/>
  <c r="V66" i="3" s="1"/>
  <c r="V70" i="3" s="1"/>
  <c r="V87" i="3" s="1"/>
  <c r="G25" i="1"/>
  <c r="I25" i="1" s="1"/>
  <c r="G24" i="1"/>
  <c r="I24" i="1" s="1"/>
  <c r="G23" i="1"/>
  <c r="I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author>
  </authors>
  <commentList>
    <comment ref="L18" authorId="0" shapeId="0" xr:uid="{0959E7B0-4B29-4E16-9C6A-CC62C4334BC5}">
      <text>
        <r>
          <rPr>
            <b/>
            <sz val="9"/>
            <color indexed="81"/>
            <rFont val="Tahoma"/>
            <charset val="1"/>
          </rPr>
          <t>FA:</t>
        </r>
        <r>
          <rPr>
            <sz val="9"/>
            <color indexed="81"/>
            <rFont val="Tahoma"/>
            <charset val="1"/>
          </rPr>
          <t xml:space="preserve">
The Net Asset Value takes into account the Net Present Value (NPV) of the expected future cash flows, as well as other assets and liabilities that will need to be defined on a case by case basis. This NAV here is only a simplified version.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author>
  </authors>
  <commentList>
    <comment ref="E43" authorId="0" shapeId="0" xr:uid="{2ACB6B51-1A18-409A-9E16-7D00A80702DF}">
      <text>
        <r>
          <rPr>
            <b/>
            <sz val="9"/>
            <color indexed="81"/>
            <rFont val="Tahoma"/>
            <family val="2"/>
          </rPr>
          <t>FA:</t>
        </r>
        <r>
          <rPr>
            <sz val="9"/>
            <color indexed="81"/>
            <rFont val="Tahoma"/>
            <family val="2"/>
          </rPr>
          <t xml:space="preserve">
Selling, general and administration cost</t>
        </r>
      </text>
    </comment>
    <comment ref="I43" authorId="0" shapeId="0" xr:uid="{EB0F3345-7198-44C4-B460-1E6D11C661F5}">
      <text>
        <r>
          <rPr>
            <b/>
            <sz val="9"/>
            <color indexed="81"/>
            <rFont val="Tahoma"/>
            <family val="2"/>
          </rPr>
          <t>FA:</t>
        </r>
        <r>
          <rPr>
            <sz val="9"/>
            <color indexed="81"/>
            <rFont val="Tahoma"/>
            <family val="2"/>
          </rPr>
          <t xml:space="preserve">
(Number of years where the useful life of the property, plant and equipment ends ahead of ahead of longest mine-life depletion)</t>
        </r>
      </text>
    </comment>
    <comment ref="F55" authorId="0" shapeId="0" xr:uid="{031407D0-BE46-4564-9D87-9974FD383803}">
      <text>
        <r>
          <rPr>
            <b/>
            <sz val="9"/>
            <color indexed="81"/>
            <rFont val="Tahoma"/>
            <charset val="1"/>
          </rPr>
          <t>FA:</t>
        </r>
        <r>
          <rPr>
            <sz val="9"/>
            <color indexed="81"/>
            <rFont val="Tahoma"/>
            <charset val="1"/>
          </rPr>
          <t xml:space="preserve">
Number of years ahead of longest mine-life depletion)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FA</author>
  </authors>
  <commentList>
    <comment ref="C28" authorId="0" shapeId="0" xr:uid="{27297045-BE27-42AE-B17E-28F42AD77216}">
      <text>
        <r>
          <rPr>
            <b/>
            <sz val="9"/>
            <color indexed="81"/>
            <rFont val="Tahoma"/>
            <family val="2"/>
          </rPr>
          <t>FA:</t>
        </r>
        <r>
          <rPr>
            <sz val="9"/>
            <color indexed="81"/>
            <rFont val="Tahoma"/>
            <family val="2"/>
          </rPr>
          <t xml:space="preserve">
Earnings Before Interest and Tax</t>
        </r>
      </text>
    </comment>
  </commentList>
</comments>
</file>

<file path=xl/sharedStrings.xml><?xml version="1.0" encoding="utf-8"?>
<sst xmlns="http://schemas.openxmlformats.org/spreadsheetml/2006/main" count="271" uniqueCount="174">
  <si>
    <t>Site</t>
  </si>
  <si>
    <t>Tonnes</t>
  </si>
  <si>
    <t>A</t>
  </si>
  <si>
    <t>B</t>
  </si>
  <si>
    <t>C</t>
  </si>
  <si>
    <t>Grade (g/t)</t>
  </si>
  <si>
    <t>Recovery</t>
  </si>
  <si>
    <t>Expected Production Total (troy ozs)</t>
  </si>
  <si>
    <t>Contained gold (troy ozs)</t>
  </si>
  <si>
    <t>Production</t>
  </si>
  <si>
    <t>BOP Resource</t>
  </si>
  <si>
    <t>Processed Ore</t>
  </si>
  <si>
    <t>EOP Resource</t>
  </si>
  <si>
    <t>Year</t>
  </si>
  <si>
    <t>Site A</t>
  </si>
  <si>
    <t>Processed Ore (tpy)</t>
  </si>
  <si>
    <t>Processed Ore (tpd)</t>
  </si>
  <si>
    <t>Operating days per year</t>
  </si>
  <si>
    <t>Operating costs</t>
  </si>
  <si>
    <t>Ore grade (g/t)</t>
  </si>
  <si>
    <t>Recovery rate</t>
  </si>
  <si>
    <t>Production (gr.)</t>
  </si>
  <si>
    <t>Production (Troy ozs)</t>
  </si>
  <si>
    <t>Site B</t>
  </si>
  <si>
    <t>Site C</t>
  </si>
  <si>
    <t>Total Production (ozs)</t>
  </si>
  <si>
    <t>Aggregate Production (ozs)</t>
  </si>
  <si>
    <t>Revenue</t>
  </si>
  <si>
    <t>Realized price</t>
  </si>
  <si>
    <t>Discount</t>
  </si>
  <si>
    <t>Long-Term</t>
  </si>
  <si>
    <t>Realized Gold Price $/oz</t>
  </si>
  <si>
    <t>Gold Price $/oz</t>
  </si>
  <si>
    <t>Mining</t>
  </si>
  <si>
    <t>Milling</t>
  </si>
  <si>
    <t>G&amp;A</t>
  </si>
  <si>
    <t>Variable costs $/tonne processed</t>
  </si>
  <si>
    <t>Fixed Costs</t>
  </si>
  <si>
    <t>Equipment rental</t>
  </si>
  <si>
    <t>Concession lease</t>
  </si>
  <si>
    <t>Other</t>
  </si>
  <si>
    <t>Fixed Costs (Annual $)</t>
  </si>
  <si>
    <t>Per tonne Processed</t>
  </si>
  <si>
    <t>Total Variable Costs</t>
  </si>
  <si>
    <t>Variable Costs</t>
  </si>
  <si>
    <t>Equipment Rental</t>
  </si>
  <si>
    <t>Concession Lease</t>
  </si>
  <si>
    <t>Total Fixed Costs</t>
  </si>
  <si>
    <t>Total Operating Costs</t>
  </si>
  <si>
    <t>Site A Revenue</t>
  </si>
  <si>
    <t>Site B Revenue</t>
  </si>
  <si>
    <t>Site C Revenue</t>
  </si>
  <si>
    <t>Total Revenue</t>
  </si>
  <si>
    <t>Total Operating Costs - All Sites</t>
  </si>
  <si>
    <t>Income Statement</t>
  </si>
  <si>
    <t>Operating Costs</t>
  </si>
  <si>
    <t>Company Selling, General and Admin</t>
  </si>
  <si>
    <t>Depreciation and Amortization</t>
  </si>
  <si>
    <t>Other Operating Expenses</t>
  </si>
  <si>
    <t>Operating Profit (EBIT)</t>
  </si>
  <si>
    <t>Interest expense</t>
  </si>
  <si>
    <t>Income Tax</t>
  </si>
  <si>
    <t>Interest Expense</t>
  </si>
  <si>
    <t>Income tax</t>
  </si>
  <si>
    <t>Earnings before Income Tax (EBT)</t>
  </si>
  <si>
    <t>Net Income</t>
  </si>
  <si>
    <t>Cash Flow Statement</t>
  </si>
  <si>
    <t>Change in Net Working Capital</t>
  </si>
  <si>
    <t>Operating Cash Flow</t>
  </si>
  <si>
    <t>Capital Expenditure</t>
  </si>
  <si>
    <t>Investing Cash Flow</t>
  </si>
  <si>
    <t>Debt Change</t>
  </si>
  <si>
    <t>Equity Change</t>
  </si>
  <si>
    <t>Dividends</t>
  </si>
  <si>
    <t>Financing Cash Flow</t>
  </si>
  <si>
    <t>Balance Sheet</t>
  </si>
  <si>
    <t>Current Assets</t>
  </si>
  <si>
    <t>Cash</t>
  </si>
  <si>
    <t>Receivables</t>
  </si>
  <si>
    <t>Inventories</t>
  </si>
  <si>
    <t>Total Current Assets</t>
  </si>
  <si>
    <t>Property, Plant and Equipment</t>
  </si>
  <si>
    <t>Total Assets</t>
  </si>
  <si>
    <t>Current Liabilities</t>
  </si>
  <si>
    <t>Accounts Payable</t>
  </si>
  <si>
    <t>Total Current Liabilities</t>
  </si>
  <si>
    <t>Debt</t>
  </si>
  <si>
    <t>Total Liabilities</t>
  </si>
  <si>
    <t>Share Capital</t>
  </si>
  <si>
    <t>Retained Earnings</t>
  </si>
  <si>
    <t>Total Liabilities and Shareholders Equity</t>
  </si>
  <si>
    <t>Starting Cash</t>
  </si>
  <si>
    <t>Working Capital</t>
  </si>
  <si>
    <t>Initial</t>
  </si>
  <si>
    <t>Equity Capital</t>
  </si>
  <si>
    <t>Check</t>
  </si>
  <si>
    <t>Net change in Cash</t>
  </si>
  <si>
    <t>BOP Cash</t>
  </si>
  <si>
    <t>EOP Cash</t>
  </si>
  <si>
    <t>Interest Rate</t>
  </si>
  <si>
    <t>Debt service</t>
  </si>
  <si>
    <t>Debt Service Payment</t>
  </si>
  <si>
    <t>Debt Opening Balance</t>
  </si>
  <si>
    <t>Debt Closing Balance</t>
  </si>
  <si>
    <t>Interest rate</t>
  </si>
  <si>
    <t>Principle Repayment</t>
  </si>
  <si>
    <t>PP&amp;E Opening Balance</t>
  </si>
  <si>
    <t>Straight line depreciation</t>
  </si>
  <si>
    <t>Asset useful life</t>
  </si>
  <si>
    <t>Depreciation</t>
  </si>
  <si>
    <t>Capital Expenditures</t>
  </si>
  <si>
    <t>PP&amp;E Closing Balance</t>
  </si>
  <si>
    <t>Payables</t>
  </si>
  <si>
    <t>Change in NWC</t>
  </si>
  <si>
    <t>Net Working Capital</t>
  </si>
  <si>
    <t>NWC Drivers</t>
  </si>
  <si>
    <t xml:space="preserve">Inventories </t>
  </si>
  <si>
    <t>Receivables % of revenue</t>
  </si>
  <si>
    <t>Inventories % of revenue</t>
  </si>
  <si>
    <t>Accounts Payable % of Revenue</t>
  </si>
  <si>
    <t>Initial Working Capital</t>
  </si>
  <si>
    <t>Mine Life</t>
  </si>
  <si>
    <t>Longest mine-life</t>
  </si>
  <si>
    <t>Debt term</t>
  </si>
  <si>
    <t>Commodity Price Assumptions</t>
  </si>
  <si>
    <t>Resources</t>
  </si>
  <si>
    <t>Price Adjustment</t>
  </si>
  <si>
    <t>SG&amp;A</t>
  </si>
  <si>
    <t>Item</t>
  </si>
  <si>
    <t>Value</t>
  </si>
  <si>
    <t xml:space="preserve">Dep. Schdle Adj. </t>
  </si>
  <si>
    <t>Gold price (USD)</t>
  </si>
  <si>
    <t>Balance Sheet Statement</t>
  </si>
  <si>
    <t>Debt repayment adj.</t>
  </si>
  <si>
    <t>Debt Service</t>
  </si>
  <si>
    <t>Operational Estimates</t>
  </si>
  <si>
    <t>Financial Estimates</t>
  </si>
  <si>
    <t>Operational and Financial Estiamtes</t>
  </si>
  <si>
    <t>Dashboard</t>
  </si>
  <si>
    <t>Main Assumptions</t>
  </si>
  <si>
    <t>Gold Price (USD)</t>
  </si>
  <si>
    <t>LT</t>
  </si>
  <si>
    <t>Annual Production (ozs)</t>
  </si>
  <si>
    <t>Total Cash Costs ($/oz)</t>
  </si>
  <si>
    <t>All-in Sustaining Costs ($/oz)</t>
  </si>
  <si>
    <t>Realized Gold Price (USD)</t>
  </si>
  <si>
    <t>Financials</t>
  </si>
  <si>
    <t>LOM</t>
  </si>
  <si>
    <t>Free Cash Flow</t>
  </si>
  <si>
    <t>Free Cash Flow Margin</t>
  </si>
  <si>
    <t>Interest coverage</t>
  </si>
  <si>
    <t>Debt/EBITDA</t>
  </si>
  <si>
    <t>Valuation</t>
  </si>
  <si>
    <t>NAV</t>
  </si>
  <si>
    <t>After tax cost of debt</t>
  </si>
  <si>
    <t>Cost of Equity</t>
  </si>
  <si>
    <t>Capital Structure</t>
  </si>
  <si>
    <t>Weight debt</t>
  </si>
  <si>
    <t>Weight Equity</t>
  </si>
  <si>
    <t>FCF</t>
  </si>
  <si>
    <t>Metric</t>
  </si>
  <si>
    <t>Multiple</t>
  </si>
  <si>
    <t>EV/EBITDA</t>
  </si>
  <si>
    <t>Only Update values in blue on the Dashboard or the Estimates and Assumptions tab</t>
  </si>
  <si>
    <t>Important Note:</t>
  </si>
  <si>
    <t>Financial Assessment Model for ASGM Operations</t>
  </si>
  <si>
    <r>
      <t xml:space="preserve">Do not update any values </t>
    </r>
    <r>
      <rPr>
        <b/>
        <u/>
        <sz val="11"/>
        <color rgb="FFFF0000"/>
        <rFont val="Calibri"/>
        <family val="2"/>
        <scheme val="minor"/>
      </rPr>
      <t>NOT</t>
    </r>
    <r>
      <rPr>
        <b/>
        <sz val="11"/>
        <color rgb="FFFF0000"/>
        <rFont val="Calibri"/>
        <family val="2"/>
        <scheme val="minor"/>
      </rPr>
      <t xml:space="preserve"> in blue</t>
    </r>
  </si>
  <si>
    <t>By:</t>
  </si>
  <si>
    <t>Firas Abbasi</t>
  </si>
  <si>
    <t>Business and Investment Specialist</t>
  </si>
  <si>
    <t>The Artisanal Gold Council (AGC)</t>
  </si>
  <si>
    <t>Email:</t>
  </si>
  <si>
    <t>fabbasi@artisanalgold.org</t>
  </si>
  <si>
    <t>WACC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</si>
</sst>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3" formatCode="_(* #,##0.00_);_(* \(#,##0.00\);_(* &quot;-&quot;??_);_(@_)"/>
    <numFmt numFmtId="164" formatCode="_(* #,##0_);_(* \(#,##0\);_(* &quot;-&quot;??_);_(@_)"/>
    <numFmt numFmtId="165" formatCode="&quot;$&quot;#,##0"/>
    <numFmt numFmtId="166" formatCode="0.0\x"/>
    <numFmt numFmtId="167" formatCode="0\x"/>
  </numFmts>
  <fonts count="21"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i/>
      <sz val="10"/>
      <color theme="1"/>
      <name val="Arial"/>
      <family val="2"/>
    </font>
    <font>
      <sz val="11"/>
      <color rgb="FFFF0000"/>
      <name val="Calibri"/>
      <family val="2"/>
      <scheme val="minor"/>
    </font>
    <font>
      <sz val="11"/>
      <color rgb="FF0070C0"/>
      <name val="Calibri"/>
      <family val="2"/>
      <scheme val="minor"/>
    </font>
    <font>
      <i/>
      <sz val="11"/>
      <color theme="1"/>
      <name val="Calibri"/>
      <family val="2"/>
      <scheme val="minor"/>
    </font>
    <font>
      <sz val="11"/>
      <name val="Calibri"/>
      <family val="2"/>
      <scheme val="minor"/>
    </font>
    <font>
      <sz val="9"/>
      <color indexed="81"/>
      <name val="Tahoma"/>
      <family val="2"/>
    </font>
    <font>
      <b/>
      <sz val="9"/>
      <color indexed="81"/>
      <name val="Tahoma"/>
      <family val="2"/>
    </font>
    <font>
      <b/>
      <sz val="11"/>
      <color theme="1"/>
      <name val="Calibri"/>
      <family val="2"/>
      <scheme val="minor"/>
    </font>
    <font>
      <sz val="9"/>
      <color indexed="81"/>
      <name val="Tahoma"/>
      <charset val="1"/>
    </font>
    <font>
      <b/>
      <sz val="9"/>
      <color indexed="81"/>
      <name val="Tahoma"/>
      <charset val="1"/>
    </font>
    <font>
      <b/>
      <sz val="20"/>
      <color theme="1"/>
      <name val="Calibri"/>
      <family val="2"/>
      <scheme val="minor"/>
    </font>
    <font>
      <b/>
      <sz val="12"/>
      <color theme="1"/>
      <name val="Calibri"/>
      <family val="2"/>
      <scheme val="minor"/>
    </font>
    <font>
      <b/>
      <sz val="18"/>
      <color theme="1"/>
      <name val="Calibri"/>
      <family val="2"/>
      <scheme val="minor"/>
    </font>
    <font>
      <b/>
      <sz val="35"/>
      <color theme="1"/>
      <name val="Calibri"/>
      <family val="2"/>
      <scheme val="minor"/>
    </font>
    <font>
      <b/>
      <u/>
      <sz val="11"/>
      <color rgb="FFFF0000"/>
      <name val="Calibri"/>
      <family val="2"/>
      <scheme val="minor"/>
    </font>
    <font>
      <b/>
      <sz val="11"/>
      <color rgb="FFFF0000"/>
      <name val="Calibri"/>
      <family val="2"/>
      <scheme val="minor"/>
    </font>
    <font>
      <u/>
      <sz val="11"/>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8" tint="-0.249977111117893"/>
        <bgColor indexed="64"/>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diagonal/>
    </border>
    <border>
      <left style="dashed">
        <color indexed="64"/>
      </left>
      <right/>
      <top style="thin">
        <color indexed="64"/>
      </top>
      <bottom style="thin">
        <color indexed="64"/>
      </bottom>
      <diagonal/>
    </border>
    <border>
      <left style="dashed">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156">
    <xf numFmtId="0" fontId="0" fillId="0" borderId="0" xfId="0"/>
    <xf numFmtId="0" fontId="0" fillId="2" borderId="0" xfId="0" applyFill="1"/>
    <xf numFmtId="43" fontId="0" fillId="2" borderId="0" xfId="1" applyFont="1" applyFill="1"/>
    <xf numFmtId="43" fontId="0" fillId="2" borderId="0" xfId="0" applyNumberFormat="1" applyFill="1"/>
    <xf numFmtId="0" fontId="2" fillId="3" borderId="2" xfId="0" applyFont="1" applyFill="1" applyBorder="1"/>
    <xf numFmtId="0" fontId="3" fillId="3" borderId="2" xfId="0" applyFont="1" applyFill="1" applyBorder="1"/>
    <xf numFmtId="0" fontId="4" fillId="3" borderId="2" xfId="0" applyFont="1" applyFill="1" applyBorder="1"/>
    <xf numFmtId="0" fontId="0" fillId="2" borderId="0" xfId="0" applyFill="1" applyAlignment="1">
      <alignment wrapText="1"/>
    </xf>
    <xf numFmtId="164" fontId="0" fillId="2" borderId="0" xfId="1" applyNumberFormat="1" applyFont="1" applyFill="1" applyBorder="1"/>
    <xf numFmtId="164" fontId="0" fillId="4" borderId="5" xfId="1" applyNumberFormat="1" applyFont="1" applyFill="1" applyBorder="1" applyAlignment="1">
      <alignment horizontal="center"/>
    </xf>
    <xf numFmtId="164" fontId="4" fillId="3" borderId="2" xfId="1" applyNumberFormat="1" applyFont="1" applyFill="1" applyBorder="1"/>
    <xf numFmtId="0" fontId="0" fillId="2" borderId="0" xfId="0" quotePrefix="1" applyFill="1"/>
    <xf numFmtId="0" fontId="4" fillId="2" borderId="0" xfId="0" applyFont="1" applyFill="1"/>
    <xf numFmtId="0" fontId="0" fillId="2" borderId="6" xfId="0" applyFill="1" applyBorder="1"/>
    <xf numFmtId="0" fontId="11" fillId="4" borderId="1" xfId="0" applyFont="1" applyFill="1" applyBorder="1"/>
    <xf numFmtId="0" fontId="0" fillId="4" borderId="1" xfId="0" applyFill="1" applyBorder="1"/>
    <xf numFmtId="0" fontId="11" fillId="4" borderId="1" xfId="0" applyFont="1" applyFill="1" applyBorder="1" applyAlignment="1">
      <alignment horizontal="center"/>
    </xf>
    <xf numFmtId="0" fontId="0" fillId="4" borderId="0" xfId="0" applyFill="1"/>
    <xf numFmtId="0" fontId="11" fillId="2" borderId="0" xfId="0" applyFont="1" applyFill="1" applyAlignment="1">
      <alignment horizontal="center"/>
    </xf>
    <xf numFmtId="0" fontId="0" fillId="5" borderId="0" xfId="0" applyFill="1"/>
    <xf numFmtId="0" fontId="11" fillId="4" borderId="1" xfId="0" applyFont="1" applyFill="1" applyBorder="1" applyAlignment="1">
      <alignment horizontal="center" wrapText="1"/>
    </xf>
    <xf numFmtId="0" fontId="11" fillId="4" borderId="1" xfId="0" applyFont="1" applyFill="1" applyBorder="1" applyAlignment="1">
      <alignment wrapText="1"/>
    </xf>
    <xf numFmtId="0" fontId="11" fillId="4" borderId="8" xfId="0" applyFont="1" applyFill="1" applyBorder="1" applyAlignment="1">
      <alignment horizontal="center" wrapText="1"/>
    </xf>
    <xf numFmtId="9" fontId="6" fillId="6" borderId="3" xfId="0" applyNumberFormat="1" applyFont="1" applyFill="1" applyBorder="1" applyAlignment="1">
      <alignment horizontal="center"/>
    </xf>
    <xf numFmtId="0" fontId="0" fillId="2" borderId="9" xfId="0" applyFill="1" applyBorder="1" applyAlignment="1">
      <alignment horizontal="center"/>
    </xf>
    <xf numFmtId="0" fontId="11" fillId="2" borderId="0" xfId="0" applyFont="1" applyFill="1" applyAlignment="1">
      <alignment horizontal="center" wrapText="1"/>
    </xf>
    <xf numFmtId="165" fontId="0" fillId="5" borderId="0" xfId="0" applyNumberFormat="1" applyFill="1"/>
    <xf numFmtId="164" fontId="6" fillId="5" borderId="9" xfId="1" applyNumberFormat="1" applyFont="1" applyFill="1" applyBorder="1" applyAlignment="1">
      <alignment horizontal="center"/>
    </xf>
    <xf numFmtId="0" fontId="0" fillId="4" borderId="10" xfId="0" applyFill="1" applyBorder="1" applyAlignment="1">
      <alignment wrapText="1"/>
    </xf>
    <xf numFmtId="1" fontId="0" fillId="4" borderId="11" xfId="0" applyNumberFormat="1" applyFill="1" applyBorder="1" applyAlignment="1">
      <alignment horizontal="center"/>
    </xf>
    <xf numFmtId="0" fontId="0" fillId="2" borderId="0" xfId="0" applyFill="1" applyAlignment="1">
      <alignment horizontal="center"/>
    </xf>
    <xf numFmtId="0" fontId="0" fillId="2" borderId="12" xfId="0" applyFill="1" applyBorder="1"/>
    <xf numFmtId="0" fontId="14" fillId="2" borderId="0" xfId="0" applyFont="1" applyFill="1" applyAlignment="1">
      <alignment horizontal="left"/>
    </xf>
    <xf numFmtId="0" fontId="0" fillId="2" borderId="17" xfId="0" applyFill="1" applyBorder="1"/>
    <xf numFmtId="0" fontId="0" fillId="2" borderId="18" xfId="0" applyFill="1" applyBorder="1"/>
    <xf numFmtId="0" fontId="0" fillId="2" borderId="7" xfId="0" applyFill="1" applyBorder="1"/>
    <xf numFmtId="0" fontId="2" fillId="3" borderId="19" xfId="0" applyFont="1" applyFill="1" applyBorder="1"/>
    <xf numFmtId="0" fontId="4" fillId="3" borderId="20" xfId="0" applyFont="1" applyFill="1" applyBorder="1"/>
    <xf numFmtId="0" fontId="0" fillId="2" borderId="21" xfId="0" applyFill="1" applyBorder="1"/>
    <xf numFmtId="0" fontId="11" fillId="4" borderId="22" xfId="0" applyFont="1" applyFill="1" applyBorder="1"/>
    <xf numFmtId="0" fontId="11" fillId="4" borderId="23" xfId="0" applyFont="1" applyFill="1" applyBorder="1"/>
    <xf numFmtId="0" fontId="11" fillId="2" borderId="18" xfId="0" applyFont="1" applyFill="1" applyBorder="1"/>
    <xf numFmtId="0" fontId="11" fillId="2" borderId="7" xfId="0" applyFont="1" applyFill="1" applyBorder="1"/>
    <xf numFmtId="0" fontId="0" fillId="6" borderId="18" xfId="0" applyFill="1" applyBorder="1"/>
    <xf numFmtId="0" fontId="0" fillId="6" borderId="0" xfId="0" applyFill="1"/>
    <xf numFmtId="165" fontId="6" fillId="5" borderId="0" xfId="0" applyNumberFormat="1" applyFont="1" applyFill="1" applyAlignment="1">
      <alignment horizontal="center"/>
    </xf>
    <xf numFmtId="165" fontId="6" fillId="5" borderId="7" xfId="0" applyNumberFormat="1" applyFont="1" applyFill="1" applyBorder="1" applyAlignment="1">
      <alignment horizontal="center"/>
    </xf>
    <xf numFmtId="9" fontId="0" fillId="5" borderId="0" xfId="2" applyFont="1" applyFill="1" applyBorder="1" applyAlignment="1">
      <alignment horizontal="center"/>
    </xf>
    <xf numFmtId="9" fontId="0" fillId="5" borderId="7" xfId="2" applyFont="1" applyFill="1" applyBorder="1" applyAlignment="1">
      <alignment horizontal="center"/>
    </xf>
    <xf numFmtId="0" fontId="0" fillId="5" borderId="0" xfId="0" applyFill="1" applyAlignment="1">
      <alignment horizontal="center"/>
    </xf>
    <xf numFmtId="0" fontId="0" fillId="5" borderId="7" xfId="0" applyFill="1" applyBorder="1" applyAlignment="1">
      <alignment horizontal="center"/>
    </xf>
    <xf numFmtId="0" fontId="11" fillId="4" borderId="22" xfId="0" applyFont="1" applyFill="1" applyBorder="1" applyAlignment="1">
      <alignment horizontal="center" wrapText="1"/>
    </xf>
    <xf numFmtId="0" fontId="0" fillId="5" borderId="18" xfId="0" applyFill="1" applyBorder="1" applyAlignment="1">
      <alignment horizontal="center"/>
    </xf>
    <xf numFmtId="164" fontId="6" fillId="5" borderId="0" xfId="1" applyNumberFormat="1" applyFont="1" applyFill="1" applyBorder="1" applyAlignment="1">
      <alignment horizontal="center"/>
    </xf>
    <xf numFmtId="0" fontId="6" fillId="5" borderId="0" xfId="0" applyFont="1" applyFill="1" applyAlignment="1">
      <alignment horizontal="center"/>
    </xf>
    <xf numFmtId="164" fontId="0" fillId="5" borderId="0" xfId="1" applyNumberFormat="1" applyFont="1" applyFill="1" applyBorder="1" applyAlignment="1">
      <alignment horizontal="center"/>
    </xf>
    <xf numFmtId="9" fontId="6" fillId="5" borderId="0" xfId="2" applyFont="1" applyFill="1" applyBorder="1" applyAlignment="1">
      <alignment horizontal="center"/>
    </xf>
    <xf numFmtId="164" fontId="0" fillId="5" borderId="0" xfId="0" applyNumberFormat="1" applyFill="1" applyAlignment="1">
      <alignment horizontal="center"/>
    </xf>
    <xf numFmtId="1" fontId="0" fillId="5" borderId="0" xfId="1" applyNumberFormat="1" applyFont="1" applyFill="1" applyBorder="1" applyAlignment="1">
      <alignment horizontal="center"/>
    </xf>
    <xf numFmtId="0" fontId="11" fillId="4" borderId="18" xfId="0" applyFont="1" applyFill="1" applyBorder="1" applyAlignment="1">
      <alignment horizontal="center"/>
    </xf>
    <xf numFmtId="0" fontId="0" fillId="2" borderId="18" xfId="0" applyFill="1" applyBorder="1" applyAlignment="1">
      <alignment horizontal="center"/>
    </xf>
    <xf numFmtId="0" fontId="6" fillId="5" borderId="0" xfId="1" applyNumberFormat="1" applyFont="1" applyFill="1" applyBorder="1" applyAlignment="1">
      <alignment horizontal="center"/>
    </xf>
    <xf numFmtId="0" fontId="0" fillId="2" borderId="16" xfId="0" applyFill="1" applyBorder="1"/>
    <xf numFmtId="0" fontId="14" fillId="2" borderId="18" xfId="0" applyFont="1" applyFill="1" applyBorder="1" applyAlignment="1">
      <alignment horizontal="left"/>
    </xf>
    <xf numFmtId="0" fontId="11" fillId="4" borderId="22" xfId="0" applyFont="1" applyFill="1" applyBorder="1" applyAlignment="1">
      <alignment horizontal="center"/>
    </xf>
    <xf numFmtId="0" fontId="11" fillId="2" borderId="18" xfId="0" applyFont="1" applyFill="1" applyBorder="1" applyAlignment="1">
      <alignment horizontal="center"/>
    </xf>
    <xf numFmtId="165" fontId="6" fillId="5" borderId="0" xfId="1" applyNumberFormat="1" applyFont="1" applyFill="1" applyBorder="1" applyAlignment="1">
      <alignment horizontal="center"/>
    </xf>
    <xf numFmtId="10" fontId="6" fillId="5" borderId="0" xfId="2" applyNumberFormat="1" applyFont="1" applyFill="1" applyBorder="1" applyAlignment="1">
      <alignment horizontal="center"/>
    </xf>
    <xf numFmtId="43" fontId="6" fillId="5" borderId="0" xfId="1" applyFont="1" applyFill="1" applyBorder="1" applyAlignment="1">
      <alignment horizontal="center"/>
    </xf>
    <xf numFmtId="1" fontId="8" fillId="5" borderId="0" xfId="1" applyNumberFormat="1" applyFont="1" applyFill="1" applyBorder="1" applyAlignment="1">
      <alignment horizontal="center"/>
    </xf>
    <xf numFmtId="9" fontId="6" fillId="5" borderId="0" xfId="2" applyFont="1" applyFill="1" applyBorder="1"/>
    <xf numFmtId="165" fontId="6" fillId="5" borderId="0" xfId="1" applyNumberFormat="1" applyFont="1" applyFill="1" applyBorder="1"/>
    <xf numFmtId="165" fontId="6" fillId="5" borderId="0" xfId="0" applyNumberFormat="1" applyFont="1" applyFill="1"/>
    <xf numFmtId="164" fontId="8" fillId="5" borderId="0" xfId="1" applyNumberFormat="1" applyFont="1" applyFill="1" applyBorder="1"/>
    <xf numFmtId="0" fontId="6" fillId="5" borderId="0" xfId="0" applyFont="1" applyFill="1"/>
    <xf numFmtId="43" fontId="0" fillId="5" borderId="0" xfId="0" applyNumberFormat="1" applyFill="1"/>
    <xf numFmtId="0" fontId="11" fillId="5" borderId="4" xfId="0" applyFont="1" applyFill="1" applyBorder="1"/>
    <xf numFmtId="164" fontId="11" fillId="5" borderId="4" xfId="1" applyNumberFormat="1" applyFont="1" applyFill="1" applyBorder="1"/>
    <xf numFmtId="0" fontId="15" fillId="4" borderId="25" xfId="0" applyFont="1" applyFill="1" applyBorder="1" applyAlignment="1">
      <alignment horizontal="center"/>
    </xf>
    <xf numFmtId="0" fontId="15" fillId="4" borderId="26" xfId="0" applyFont="1" applyFill="1" applyBorder="1" applyAlignment="1">
      <alignment horizontal="center"/>
    </xf>
    <xf numFmtId="0" fontId="0" fillId="5" borderId="18" xfId="0" applyFill="1" applyBorder="1"/>
    <xf numFmtId="9" fontId="0" fillId="5" borderId="0" xfId="0" applyNumberFormat="1" applyFill="1"/>
    <xf numFmtId="9" fontId="0" fillId="5" borderId="0" xfId="2" applyFont="1" applyFill="1" applyBorder="1"/>
    <xf numFmtId="164" fontId="0" fillId="5" borderId="0" xfId="1" applyNumberFormat="1" applyFont="1" applyFill="1" applyBorder="1"/>
    <xf numFmtId="0" fontId="0" fillId="4" borderId="0" xfId="0" applyFill="1" applyAlignment="1">
      <alignment horizontal="center"/>
    </xf>
    <xf numFmtId="165" fontId="0" fillId="4" borderId="0" xfId="0" applyNumberFormat="1" applyFill="1"/>
    <xf numFmtId="0" fontId="8" fillId="5" borderId="0" xfId="0" applyFont="1" applyFill="1"/>
    <xf numFmtId="0" fontId="5" fillId="5" borderId="0" xfId="0" applyFont="1" applyFill="1"/>
    <xf numFmtId="0" fontId="0" fillId="5" borderId="4" xfId="0" applyFill="1" applyBorder="1"/>
    <xf numFmtId="164" fontId="0" fillId="5" borderId="4" xfId="1" applyNumberFormat="1" applyFont="1" applyFill="1" applyBorder="1"/>
    <xf numFmtId="9" fontId="0" fillId="4" borderId="5" xfId="0" applyNumberFormat="1" applyFill="1" applyBorder="1" applyAlignment="1">
      <alignment horizontal="center"/>
    </xf>
    <xf numFmtId="0" fontId="7" fillId="5" borderId="2" xfId="0" applyFont="1" applyFill="1" applyBorder="1"/>
    <xf numFmtId="164" fontId="7" fillId="5" borderId="2" xfId="0" applyNumberFormat="1" applyFont="1" applyFill="1" applyBorder="1"/>
    <xf numFmtId="164" fontId="7" fillId="5" borderId="2" xfId="1" applyNumberFormat="1" applyFont="1" applyFill="1" applyBorder="1"/>
    <xf numFmtId="43" fontId="7" fillId="5" borderId="2" xfId="1" applyFont="1" applyFill="1" applyBorder="1"/>
    <xf numFmtId="164" fontId="0" fillId="4" borderId="0" xfId="1" applyNumberFormat="1" applyFont="1" applyFill="1" applyBorder="1"/>
    <xf numFmtId="43" fontId="0" fillId="5" borderId="0" xfId="1" applyFont="1" applyFill="1" applyBorder="1"/>
    <xf numFmtId="43" fontId="0" fillId="5" borderId="4" xfId="1" applyFont="1" applyFill="1" applyBorder="1"/>
    <xf numFmtId="164" fontId="0" fillId="5" borderId="0" xfId="0" applyNumberFormat="1" applyFill="1"/>
    <xf numFmtId="9" fontId="0" fillId="4" borderId="5" xfId="2" applyFont="1" applyFill="1" applyBorder="1" applyAlignment="1">
      <alignment horizontal="center"/>
    </xf>
    <xf numFmtId="0" fontId="0" fillId="4" borderId="14" xfId="0" applyFill="1" applyBorder="1"/>
    <xf numFmtId="0" fontId="0" fillId="4" borderId="15" xfId="0" applyFill="1" applyBorder="1"/>
    <xf numFmtId="0" fontId="0" fillId="4" borderId="12" xfId="0" applyFill="1" applyBorder="1"/>
    <xf numFmtId="0" fontId="0" fillId="4" borderId="17" xfId="0" applyFill="1" applyBorder="1"/>
    <xf numFmtId="0" fontId="0" fillId="4" borderId="7" xfId="0" applyFill="1" applyBorder="1"/>
    <xf numFmtId="0" fontId="4" fillId="2" borderId="7" xfId="0" applyFont="1" applyFill="1" applyBorder="1"/>
    <xf numFmtId="165" fontId="0" fillId="2" borderId="0" xfId="1" applyNumberFormat="1" applyFont="1" applyFill="1" applyBorder="1"/>
    <xf numFmtId="165" fontId="0" fillId="5" borderId="0" xfId="1" applyNumberFormat="1" applyFont="1" applyFill="1" applyBorder="1"/>
    <xf numFmtId="166" fontId="0" fillId="5" borderId="0" xfId="1" applyNumberFormat="1" applyFont="1" applyFill="1" applyBorder="1"/>
    <xf numFmtId="10" fontId="6" fillId="5" borderId="0" xfId="2" applyNumberFormat="1" applyFont="1" applyFill="1" applyBorder="1"/>
    <xf numFmtId="9" fontId="0" fillId="5" borderId="1" xfId="2" applyFont="1" applyFill="1" applyBorder="1"/>
    <xf numFmtId="6" fontId="0" fillId="2" borderId="0" xfId="0" applyNumberFormat="1" applyFill="1"/>
    <xf numFmtId="0" fontId="11" fillId="4" borderId="1" xfId="0" applyFont="1" applyFill="1" applyBorder="1" applyAlignment="1">
      <alignment horizontal="left"/>
    </xf>
    <xf numFmtId="6" fontId="11" fillId="4" borderId="1" xfId="0" applyNumberFormat="1" applyFont="1" applyFill="1" applyBorder="1"/>
    <xf numFmtId="167" fontId="6" fillId="2" borderId="0" xfId="0" applyNumberFormat="1" applyFont="1" applyFill="1" applyAlignment="1">
      <alignment horizontal="center"/>
    </xf>
    <xf numFmtId="0" fontId="0" fillId="7" borderId="0" xfId="0" applyFill="1"/>
    <xf numFmtId="0" fontId="18" fillId="4" borderId="27" xfId="0" applyFont="1" applyFill="1" applyBorder="1"/>
    <xf numFmtId="0" fontId="5" fillId="4" borderId="6" xfId="0" applyFont="1" applyFill="1" applyBorder="1"/>
    <xf numFmtId="0" fontId="0" fillId="4" borderId="6" xfId="0" applyFill="1" applyBorder="1"/>
    <xf numFmtId="0" fontId="0" fillId="4" borderId="28" xfId="0" applyFill="1" applyBorder="1"/>
    <xf numFmtId="0" fontId="19" fillId="4" borderId="29" xfId="0" applyFont="1" applyFill="1" applyBorder="1"/>
    <xf numFmtId="0" fontId="5" fillId="4" borderId="0" xfId="0" applyFont="1" applyFill="1"/>
    <xf numFmtId="0" fontId="0" fillId="4" borderId="30" xfId="0" applyFill="1" applyBorder="1"/>
    <xf numFmtId="0" fontId="19" fillId="4" borderId="31" xfId="0" applyFont="1" applyFill="1" applyBorder="1"/>
    <xf numFmtId="0" fontId="5" fillId="4" borderId="1" xfId="0" applyFont="1" applyFill="1" applyBorder="1"/>
    <xf numFmtId="0" fontId="0" fillId="4" borderId="32" xfId="0" applyFill="1" applyBorder="1"/>
    <xf numFmtId="10" fontId="0" fillId="5" borderId="0" xfId="0" applyNumberFormat="1" applyFill="1"/>
    <xf numFmtId="0" fontId="11" fillId="5" borderId="0" xfId="0" applyFont="1" applyFill="1"/>
    <xf numFmtId="6" fontId="0" fillId="5" borderId="0" xfId="0" applyNumberFormat="1" applyFill="1"/>
    <xf numFmtId="0" fontId="11" fillId="4" borderId="27" xfId="0" applyFont="1" applyFill="1" applyBorder="1"/>
    <xf numFmtId="0" fontId="0" fillId="4" borderId="29" xfId="0" applyFill="1" applyBorder="1"/>
    <xf numFmtId="0" fontId="20" fillId="4" borderId="0" xfId="3" applyFill="1" applyBorder="1"/>
    <xf numFmtId="0" fontId="0" fillId="4" borderId="31" xfId="0" applyFill="1" applyBorder="1"/>
    <xf numFmtId="165" fontId="8" fillId="5" borderId="0" xfId="1" applyNumberFormat="1" applyFont="1" applyFill="1" applyBorder="1" applyAlignment="1">
      <alignment horizontal="center"/>
    </xf>
    <xf numFmtId="0" fontId="17" fillId="4" borderId="13" xfId="0" applyFont="1" applyFill="1" applyBorder="1" applyAlignment="1">
      <alignment horizontal="center"/>
    </xf>
    <xf numFmtId="0" fontId="17" fillId="4" borderId="14" xfId="0" applyFont="1" applyFill="1" applyBorder="1" applyAlignment="1">
      <alignment horizontal="center"/>
    </xf>
    <xf numFmtId="0" fontId="17" fillId="4" borderId="15" xfId="0" applyFont="1" applyFill="1" applyBorder="1" applyAlignment="1">
      <alignment horizontal="center"/>
    </xf>
    <xf numFmtId="0" fontId="17" fillId="4" borderId="18" xfId="0" applyFont="1" applyFill="1" applyBorder="1" applyAlignment="1">
      <alignment horizontal="center"/>
    </xf>
    <xf numFmtId="0" fontId="17" fillId="4" borderId="0" xfId="0" applyFont="1" applyFill="1" applyAlignment="1">
      <alignment horizontal="center"/>
    </xf>
    <xf numFmtId="0" fontId="17" fillId="4" borderId="7" xfId="0" applyFont="1" applyFill="1" applyBorder="1" applyAlignment="1">
      <alignment horizontal="center"/>
    </xf>
    <xf numFmtId="0" fontId="17" fillId="4" borderId="16" xfId="0" applyFont="1" applyFill="1" applyBorder="1" applyAlignment="1">
      <alignment horizontal="center"/>
    </xf>
    <xf numFmtId="0" fontId="17" fillId="4" borderId="12" xfId="0" applyFont="1" applyFill="1" applyBorder="1" applyAlignment="1">
      <alignment horizontal="center"/>
    </xf>
    <xf numFmtId="0" fontId="17" fillId="4" borderId="17" xfId="0" applyFont="1" applyFill="1" applyBorder="1" applyAlignment="1">
      <alignment horizontal="center"/>
    </xf>
    <xf numFmtId="0" fontId="14" fillId="4" borderId="13" xfId="0" applyFont="1" applyFill="1" applyBorder="1" applyAlignment="1">
      <alignment horizontal="left"/>
    </xf>
    <xf numFmtId="0" fontId="14" fillId="4" borderId="14" xfId="0" applyFont="1" applyFill="1" applyBorder="1" applyAlignment="1">
      <alignment horizontal="left"/>
    </xf>
    <xf numFmtId="0" fontId="14" fillId="4" borderId="18" xfId="0" applyFont="1" applyFill="1" applyBorder="1" applyAlignment="1">
      <alignment horizontal="left"/>
    </xf>
    <xf numFmtId="0" fontId="14" fillId="4" borderId="0" xfId="0" applyFont="1" applyFill="1" applyAlignment="1">
      <alignment horizontal="left"/>
    </xf>
    <xf numFmtId="0" fontId="2" fillId="3" borderId="0" xfId="0" applyFont="1" applyFill="1" applyAlignment="1">
      <alignment horizontal="center"/>
    </xf>
    <xf numFmtId="0" fontId="16" fillId="4" borderId="13" xfId="0" applyFont="1" applyFill="1" applyBorder="1" applyAlignment="1">
      <alignment horizontal="left"/>
    </xf>
    <xf numFmtId="0" fontId="16" fillId="4" borderId="14" xfId="0" applyFont="1" applyFill="1" applyBorder="1" applyAlignment="1">
      <alignment horizontal="left"/>
    </xf>
    <xf numFmtId="0" fontId="16" fillId="4" borderId="16" xfId="0" applyFont="1" applyFill="1" applyBorder="1" applyAlignment="1">
      <alignment horizontal="left"/>
    </xf>
    <xf numFmtId="0" fontId="16" fillId="4" borderId="12" xfId="0" applyFont="1" applyFill="1" applyBorder="1" applyAlignment="1">
      <alignment horizontal="left"/>
    </xf>
    <xf numFmtId="0" fontId="11" fillId="4" borderId="1" xfId="0" applyFont="1" applyFill="1" applyBorder="1" applyAlignment="1">
      <alignment horizontal="center"/>
    </xf>
    <xf numFmtId="0" fontId="11" fillId="5" borderId="4" xfId="0" applyFont="1" applyFill="1" applyBorder="1" applyAlignment="1">
      <alignment horizontal="center"/>
    </xf>
    <xf numFmtId="0" fontId="15" fillId="4" borderId="24" xfId="0" applyFont="1" applyFill="1" applyBorder="1" applyAlignment="1">
      <alignment horizontal="center"/>
    </xf>
    <xf numFmtId="0" fontId="15" fillId="4" borderId="25" xfId="0" applyFont="1" applyFill="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Production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Production ozs</c:v>
          </c:tx>
          <c:spPr>
            <a:solidFill>
              <a:schemeClr val="accent6"/>
            </a:solidFill>
            <a:ln>
              <a:noFill/>
            </a:ln>
            <a:effectLst/>
          </c:spPr>
          <c:invertIfNegative val="0"/>
          <c:cat>
            <c:numRef>
              <c:f>'Model Operations'!$H$3:$U$3</c:f>
              <c:numCache>
                <c:formatCode>General</c:formatCode>
                <c:ptCount val="14"/>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numCache>
            </c:numRef>
          </c:cat>
          <c:val>
            <c:numRef>
              <c:f>'Model Operations'!$H$46:$U$46</c:f>
              <c:numCache>
                <c:formatCode>_(* #,##0_);_(* \(#,##0\);_(* "-"??_);_(@_)</c:formatCode>
                <c:ptCount val="14"/>
                <c:pt idx="0">
                  <c:v>1801.4469453376205</c:v>
                </c:pt>
                <c:pt idx="1">
                  <c:v>1801.4469453376205</c:v>
                </c:pt>
                <c:pt idx="2">
                  <c:v>1801.4469453376205</c:v>
                </c:pt>
                <c:pt idx="3">
                  <c:v>1801.4469453376205</c:v>
                </c:pt>
                <c:pt idx="4">
                  <c:v>1801.4469453376205</c:v>
                </c:pt>
                <c:pt idx="5">
                  <c:v>1801.4469453376205</c:v>
                </c:pt>
                <c:pt idx="6">
                  <c:v>1801.4469453376205</c:v>
                </c:pt>
                <c:pt idx="7">
                  <c:v>1454.1800643086815</c:v>
                </c:pt>
                <c:pt idx="8">
                  <c:v>1323.9549839228293</c:v>
                </c:pt>
                <c:pt idx="9">
                  <c:v>1323.9549839228293</c:v>
                </c:pt>
                <c:pt idx="10">
                  <c:v>1323.9549839228293</c:v>
                </c:pt>
                <c:pt idx="11">
                  <c:v>1323.9549839228293</c:v>
                </c:pt>
                <c:pt idx="12">
                  <c:v>781.35048231511246</c:v>
                </c:pt>
                <c:pt idx="13">
                  <c:v>260.45016077170419</c:v>
                </c:pt>
              </c:numCache>
            </c:numRef>
          </c:val>
          <c:extLst>
            <c:ext xmlns:c16="http://schemas.microsoft.com/office/drawing/2014/chart" uri="{C3380CC4-5D6E-409C-BE32-E72D297353CC}">
              <c16:uniqueId val="{00000000-E34B-4F69-B2B7-9DEBEF85D95C}"/>
            </c:ext>
          </c:extLst>
        </c:ser>
        <c:dLbls>
          <c:showLegendKey val="0"/>
          <c:showVal val="0"/>
          <c:showCatName val="0"/>
          <c:showSerName val="0"/>
          <c:showPercent val="0"/>
          <c:showBubbleSize val="0"/>
        </c:dLbls>
        <c:gapWidth val="219"/>
        <c:overlap val="-27"/>
        <c:axId val="494291320"/>
        <c:axId val="494292632"/>
      </c:barChart>
      <c:catAx>
        <c:axId val="494291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4292632"/>
        <c:crosses val="autoZero"/>
        <c:auto val="1"/>
        <c:lblAlgn val="ctr"/>
        <c:lblOffset val="100"/>
        <c:tickLblSkip val="3"/>
        <c:tickMarkSkip val="1"/>
        <c:noMultiLvlLbl val="0"/>
      </c:catAx>
      <c:valAx>
        <c:axId val="49429263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429132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829235</xdr:colOff>
      <xdr:row>20</xdr:row>
      <xdr:rowOff>168087</xdr:rowOff>
    </xdr:from>
    <xdr:to>
      <xdr:col>14</xdr:col>
      <xdr:colOff>621925</xdr:colOff>
      <xdr:row>33</xdr:row>
      <xdr:rowOff>166965</xdr:rowOff>
    </xdr:to>
    <xdr:graphicFrame macro="">
      <xdr:nvGraphicFramePr>
        <xdr:cNvPr id="2" name="Chart 1">
          <a:extLst>
            <a:ext uri="{FF2B5EF4-FFF2-40B4-BE49-F238E27FC236}">
              <a16:creationId xmlns:a16="http://schemas.microsoft.com/office/drawing/2014/main" id="{DB30DF91-C7F6-4709-BD5B-42515EE9D8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168088</xdr:colOff>
      <xdr:row>10</xdr:row>
      <xdr:rowOff>78440</xdr:rowOff>
    </xdr:from>
    <xdr:to>
      <xdr:col>27</xdr:col>
      <xdr:colOff>419786</xdr:colOff>
      <xdr:row>25</xdr:row>
      <xdr:rowOff>144857</xdr:rowOff>
    </xdr:to>
    <xdr:pic>
      <xdr:nvPicPr>
        <xdr:cNvPr id="9" name="Picture 8">
          <a:extLst>
            <a:ext uri="{FF2B5EF4-FFF2-40B4-BE49-F238E27FC236}">
              <a16:creationId xmlns:a16="http://schemas.microsoft.com/office/drawing/2014/main" id="{3261F68E-1B13-474C-AA10-FA94F604BD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973735" y="1232646"/>
          <a:ext cx="5697757" cy="2654976"/>
        </a:xfrm>
        <a:prstGeom prst="rect">
          <a:avLst/>
        </a:prstGeom>
      </xdr:spPr>
    </xdr:pic>
    <xdr:clientData/>
  </xdr:twoCellAnchor>
  <xdr:twoCellAnchor editAs="oneCell">
    <xdr:from>
      <xdr:col>21</xdr:col>
      <xdr:colOff>605117</xdr:colOff>
      <xdr:row>1</xdr:row>
      <xdr:rowOff>168088</xdr:rowOff>
    </xdr:from>
    <xdr:to>
      <xdr:col>23</xdr:col>
      <xdr:colOff>537882</xdr:colOff>
      <xdr:row>7</xdr:row>
      <xdr:rowOff>156882</xdr:rowOff>
    </xdr:to>
    <xdr:pic>
      <xdr:nvPicPr>
        <xdr:cNvPr id="11" name="Picture 10">
          <a:extLst>
            <a:ext uri="{FF2B5EF4-FFF2-40B4-BE49-F238E27FC236}">
              <a16:creationId xmlns:a16="http://schemas.microsoft.com/office/drawing/2014/main" id="{D50F1B6C-B673-4E16-98DF-BB1E6C00A8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226117" y="358588"/>
          <a:ext cx="1143000" cy="1143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bbasi@artisanalgold.org"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3F24-67F6-4BB0-9C1B-C672D8788C94}">
  <dimension ref="B2:AB47"/>
  <sheetViews>
    <sheetView topLeftCell="A12" zoomScale="70" zoomScaleNormal="70" workbookViewId="0">
      <selection activeCell="D18" sqref="D18:G22"/>
    </sheetView>
  </sheetViews>
  <sheetFormatPr defaultColWidth="9.08984375" defaultRowHeight="14.5" x14ac:dyDescent="0.35"/>
  <cols>
    <col min="1" max="1" width="9.08984375" style="1"/>
    <col min="2" max="2" width="3.6328125" style="1" customWidth="1"/>
    <col min="3" max="3" width="28.36328125" style="1" customWidth="1"/>
    <col min="4" max="8" width="12.6328125" style="1" customWidth="1"/>
    <col min="9" max="9" width="3.6328125" style="1" customWidth="1"/>
    <col min="10" max="15" width="12.6328125" style="1" customWidth="1"/>
    <col min="16" max="16" width="3.6328125" style="1" customWidth="1"/>
    <col min="17" max="16384" width="9.08984375" style="1"/>
  </cols>
  <sheetData>
    <row r="2" spans="2:28" ht="15" thickBot="1" x14ac:dyDescent="0.4"/>
    <row r="3" spans="2:28" ht="15" customHeight="1" x14ac:dyDescent="0.35">
      <c r="B3" s="134" t="s">
        <v>165</v>
      </c>
      <c r="C3" s="135"/>
      <c r="D3" s="135"/>
      <c r="E3" s="135"/>
      <c r="F3" s="135"/>
      <c r="G3" s="135"/>
      <c r="H3" s="135"/>
      <c r="I3" s="135"/>
      <c r="J3" s="135"/>
      <c r="K3" s="135"/>
      <c r="L3" s="135"/>
      <c r="M3" s="135"/>
      <c r="N3" s="135"/>
      <c r="O3" s="135"/>
      <c r="P3" s="136"/>
    </row>
    <row r="4" spans="2:28" ht="15" customHeight="1" x14ac:dyDescent="0.35">
      <c r="B4" s="137"/>
      <c r="C4" s="138"/>
      <c r="D4" s="138"/>
      <c r="E4" s="138"/>
      <c r="F4" s="138"/>
      <c r="G4" s="138"/>
      <c r="H4" s="138"/>
      <c r="I4" s="138"/>
      <c r="J4" s="138"/>
      <c r="K4" s="138"/>
      <c r="L4" s="138"/>
      <c r="M4" s="138"/>
      <c r="N4" s="138"/>
      <c r="O4" s="138"/>
      <c r="P4" s="139"/>
    </row>
    <row r="5" spans="2:28" ht="15" customHeight="1" thickBot="1" x14ac:dyDescent="0.4">
      <c r="B5" s="140"/>
      <c r="C5" s="141"/>
      <c r="D5" s="141"/>
      <c r="E5" s="141"/>
      <c r="F5" s="141"/>
      <c r="G5" s="141"/>
      <c r="H5" s="141"/>
      <c r="I5" s="141"/>
      <c r="J5" s="141"/>
      <c r="K5" s="141"/>
      <c r="L5" s="141"/>
      <c r="M5" s="141"/>
      <c r="N5" s="141"/>
      <c r="O5" s="141"/>
      <c r="P5" s="142"/>
    </row>
    <row r="7" spans="2:28" x14ac:dyDescent="0.35">
      <c r="B7" s="116" t="s">
        <v>164</v>
      </c>
      <c r="C7" s="117"/>
      <c r="D7" s="118"/>
      <c r="E7" s="118"/>
      <c r="F7" s="118"/>
      <c r="G7" s="118"/>
      <c r="H7" s="118"/>
      <c r="I7" s="118"/>
      <c r="J7" s="118"/>
      <c r="K7" s="118"/>
      <c r="L7" s="118"/>
      <c r="M7" s="118"/>
      <c r="N7" s="118"/>
      <c r="O7" s="118"/>
      <c r="P7" s="119"/>
    </row>
    <row r="8" spans="2:28" x14ac:dyDescent="0.35">
      <c r="B8" s="120" t="s">
        <v>163</v>
      </c>
      <c r="C8" s="121"/>
      <c r="D8" s="17"/>
      <c r="E8" s="17"/>
      <c r="F8" s="17"/>
      <c r="G8" s="17"/>
      <c r="H8" s="17"/>
      <c r="I8" s="17"/>
      <c r="J8" s="17"/>
      <c r="K8" s="17"/>
      <c r="L8" s="17"/>
      <c r="M8" s="17"/>
      <c r="N8" s="17"/>
      <c r="O8" s="17"/>
      <c r="P8" s="122"/>
    </row>
    <row r="9" spans="2:28" x14ac:dyDescent="0.35">
      <c r="B9" s="123" t="s">
        <v>166</v>
      </c>
      <c r="C9" s="124"/>
      <c r="D9" s="15"/>
      <c r="E9" s="15"/>
      <c r="F9" s="15"/>
      <c r="G9" s="15"/>
      <c r="H9" s="15"/>
      <c r="I9" s="15"/>
      <c r="J9" s="15"/>
      <c r="K9" s="15"/>
      <c r="L9" s="15"/>
      <c r="M9" s="15"/>
      <c r="N9" s="15"/>
      <c r="O9" s="15"/>
      <c r="P9" s="125"/>
    </row>
    <row r="10" spans="2:28" ht="15" thickBot="1" x14ac:dyDescent="0.4"/>
    <row r="11" spans="2:28" ht="15" customHeight="1" x14ac:dyDescent="0.35">
      <c r="B11" s="143" t="s">
        <v>138</v>
      </c>
      <c r="C11" s="144"/>
      <c r="D11" s="144"/>
      <c r="E11" s="144"/>
      <c r="F11" s="144"/>
      <c r="G11" s="144"/>
      <c r="H11" s="100"/>
      <c r="I11" s="100"/>
      <c r="J11" s="100"/>
      <c r="K11" s="100"/>
      <c r="L11" s="100"/>
      <c r="M11" s="100"/>
      <c r="N11" s="100"/>
      <c r="O11" s="100"/>
      <c r="P11" s="101"/>
      <c r="S11" s="115"/>
      <c r="T11" s="115"/>
      <c r="U11" s="115"/>
      <c r="V11" s="115"/>
      <c r="W11" s="115"/>
      <c r="X11" s="115"/>
      <c r="Y11" s="115"/>
      <c r="Z11" s="115"/>
      <c r="AA11" s="115"/>
      <c r="AB11" s="115"/>
    </row>
    <row r="12" spans="2:28" ht="15" customHeight="1" x14ac:dyDescent="0.35">
      <c r="B12" s="145"/>
      <c r="C12" s="146"/>
      <c r="D12" s="146"/>
      <c r="E12" s="146"/>
      <c r="F12" s="146"/>
      <c r="G12" s="146"/>
      <c r="H12" s="17"/>
      <c r="I12" s="17"/>
      <c r="J12" s="17"/>
      <c r="K12" s="17"/>
      <c r="L12" s="17"/>
      <c r="M12" s="17"/>
      <c r="N12" s="17"/>
      <c r="O12" s="17"/>
      <c r="P12" s="104"/>
      <c r="S12" s="115"/>
      <c r="T12" s="115"/>
      <c r="U12" s="115"/>
      <c r="V12" s="115"/>
      <c r="W12" s="115"/>
      <c r="X12" s="115"/>
      <c r="Y12" s="115"/>
      <c r="Z12" s="115"/>
      <c r="AA12" s="115"/>
      <c r="AB12" s="115"/>
    </row>
    <row r="13" spans="2:28" ht="9.9" customHeight="1" x14ac:dyDescent="0.35">
      <c r="B13" s="34"/>
      <c r="P13" s="35"/>
      <c r="S13" s="115"/>
      <c r="T13" s="115"/>
      <c r="U13" s="115"/>
      <c r="V13" s="115"/>
      <c r="W13" s="115"/>
      <c r="X13" s="115"/>
      <c r="Y13" s="115"/>
      <c r="Z13" s="115"/>
      <c r="AA13" s="115"/>
      <c r="AB13" s="115"/>
    </row>
    <row r="14" spans="2:28" x14ac:dyDescent="0.35">
      <c r="B14" s="34"/>
      <c r="C14" s="4" t="s">
        <v>139</v>
      </c>
      <c r="D14" s="5"/>
      <c r="E14" s="6"/>
      <c r="F14" s="6"/>
      <c r="G14" s="6"/>
      <c r="H14" s="6"/>
      <c r="I14" s="12"/>
      <c r="J14" s="12"/>
      <c r="K14" s="12"/>
      <c r="L14" s="147" t="s">
        <v>152</v>
      </c>
      <c r="M14" s="147"/>
      <c r="N14" s="147"/>
      <c r="P14" s="35"/>
      <c r="S14" s="115"/>
      <c r="T14" s="115"/>
      <c r="U14" s="115"/>
      <c r="V14" s="115"/>
      <c r="W14" s="115"/>
      <c r="X14" s="115"/>
      <c r="Y14" s="115"/>
      <c r="Z14" s="115"/>
      <c r="AA14" s="115"/>
      <c r="AB14" s="115"/>
    </row>
    <row r="15" spans="2:28" ht="9.9" customHeight="1" x14ac:dyDescent="0.35">
      <c r="B15" s="34"/>
      <c r="P15" s="35"/>
      <c r="S15" s="115"/>
      <c r="T15" s="115"/>
      <c r="U15" s="115"/>
      <c r="V15" s="115"/>
      <c r="W15" s="115"/>
      <c r="X15" s="115"/>
      <c r="Y15" s="115"/>
      <c r="Z15" s="115"/>
      <c r="AA15" s="115"/>
      <c r="AB15" s="115"/>
    </row>
    <row r="16" spans="2:28" x14ac:dyDescent="0.35">
      <c r="B16" s="34"/>
      <c r="C16" s="14" t="s">
        <v>13</v>
      </c>
      <c r="D16" s="16">
        <v>2024</v>
      </c>
      <c r="E16" s="16">
        <v>2025</v>
      </c>
      <c r="F16" s="16">
        <v>2026</v>
      </c>
      <c r="G16" s="16">
        <v>2027</v>
      </c>
      <c r="H16" s="16" t="s">
        <v>141</v>
      </c>
      <c r="I16" s="18"/>
      <c r="J16" s="18"/>
      <c r="L16" s="112" t="s">
        <v>160</v>
      </c>
      <c r="M16" s="113" t="s">
        <v>161</v>
      </c>
      <c r="N16" s="14" t="s">
        <v>129</v>
      </c>
      <c r="P16" s="35"/>
      <c r="S16" s="115"/>
      <c r="T16" s="115"/>
      <c r="U16" s="115"/>
      <c r="V16" s="115"/>
      <c r="W16" s="115"/>
      <c r="X16" s="115"/>
      <c r="Y16" s="115"/>
      <c r="Z16" s="115"/>
      <c r="AA16" s="115"/>
      <c r="AB16" s="115"/>
    </row>
    <row r="17" spans="2:28" ht="9.9" customHeight="1" x14ac:dyDescent="0.35">
      <c r="B17" s="34"/>
      <c r="P17" s="35"/>
      <c r="S17" s="115"/>
      <c r="T17" s="115"/>
      <c r="U17" s="115"/>
      <c r="V17" s="115"/>
      <c r="W17" s="115"/>
      <c r="X17" s="115"/>
      <c r="Y17" s="115"/>
      <c r="Z17" s="115"/>
      <c r="AA17" s="115"/>
      <c r="AB17" s="115"/>
    </row>
    <row r="18" spans="2:28" x14ac:dyDescent="0.35">
      <c r="B18" s="34"/>
      <c r="C18" s="19" t="s">
        <v>140</v>
      </c>
      <c r="D18" s="26">
        <f>'Estimates and Assumptions'!G14</f>
        <v>2600</v>
      </c>
      <c r="E18" s="26">
        <f>'Estimates and Assumptions'!H14</f>
        <v>2600</v>
      </c>
      <c r="F18" s="26">
        <f>'Estimates and Assumptions'!I14</f>
        <v>2500</v>
      </c>
      <c r="G18" s="26">
        <f>'Estimates and Assumptions'!J14</f>
        <v>2400</v>
      </c>
      <c r="H18" s="26">
        <f>'Estimates and Assumptions'!Q14</f>
        <v>2000</v>
      </c>
      <c r="L18" s="1" t="s">
        <v>153</v>
      </c>
      <c r="M18" s="114">
        <v>1</v>
      </c>
      <c r="N18" s="111">
        <f>M18*'Model Financials'!E101</f>
        <v>8612280.4426153842</v>
      </c>
      <c r="P18" s="35"/>
      <c r="S18" s="115"/>
      <c r="T18" s="115"/>
      <c r="U18" s="115"/>
      <c r="V18" s="115"/>
      <c r="W18" s="115"/>
      <c r="X18" s="115"/>
      <c r="Y18" s="115"/>
      <c r="Z18" s="115"/>
      <c r="AA18" s="115"/>
      <c r="AB18" s="115"/>
    </row>
    <row r="19" spans="2:28" x14ac:dyDescent="0.35">
      <c r="B19" s="34"/>
      <c r="C19" s="19" t="s">
        <v>145</v>
      </c>
      <c r="D19" s="26">
        <f>'Estimates and Assumptions'!G17</f>
        <v>2470</v>
      </c>
      <c r="E19" s="26">
        <f>'Estimates and Assumptions'!H17</f>
        <v>2470</v>
      </c>
      <c r="F19" s="26">
        <f>'Estimates and Assumptions'!I17</f>
        <v>2375</v>
      </c>
      <c r="G19" s="26">
        <f>'Estimates and Assumptions'!J17</f>
        <v>2280</v>
      </c>
      <c r="H19" s="26">
        <f>'Estimates and Assumptions'!Q17</f>
        <v>1900</v>
      </c>
      <c r="L19" s="1" t="s">
        <v>162</v>
      </c>
      <c r="M19" s="114">
        <v>10</v>
      </c>
      <c r="N19" s="106">
        <f>M19*('Model Financials'!J28+'Model Financials'!J25)</f>
        <v>29683239.549839228</v>
      </c>
      <c r="P19" s="35"/>
      <c r="S19" s="115"/>
      <c r="T19" s="115"/>
      <c r="U19" s="115"/>
      <c r="V19" s="115"/>
      <c r="W19" s="115"/>
      <c r="X19" s="115"/>
      <c r="Y19" s="115"/>
      <c r="Z19" s="115"/>
      <c r="AA19" s="115"/>
      <c r="AB19" s="115"/>
    </row>
    <row r="20" spans="2:28" x14ac:dyDescent="0.35">
      <c r="B20" s="34"/>
      <c r="C20" s="19" t="s">
        <v>142</v>
      </c>
      <c r="D20" s="83">
        <f>'Model Operations'!I46</f>
        <v>1801.4469453376205</v>
      </c>
      <c r="E20" s="83">
        <f>'Model Operations'!J46</f>
        <v>1801.4469453376205</v>
      </c>
      <c r="F20" s="83">
        <f>'Model Operations'!K46</f>
        <v>1801.4469453376205</v>
      </c>
      <c r="G20" s="83">
        <f>'Model Operations'!L46</f>
        <v>1801.4469453376205</v>
      </c>
      <c r="H20" s="19"/>
      <c r="P20" s="35"/>
      <c r="S20" s="115"/>
      <c r="T20" s="115"/>
      <c r="U20" s="115"/>
      <c r="V20" s="115"/>
      <c r="W20" s="115"/>
      <c r="X20" s="115"/>
      <c r="Y20" s="115"/>
      <c r="Z20" s="115"/>
      <c r="AA20" s="115"/>
      <c r="AB20" s="115"/>
    </row>
    <row r="21" spans="2:28" x14ac:dyDescent="0.35">
      <c r="B21" s="34"/>
      <c r="C21" s="19" t="s">
        <v>143</v>
      </c>
      <c r="D21" s="83">
        <f>'Model Operations'!I118/'Model Operations'!I46</f>
        <v>655.72289156626505</v>
      </c>
      <c r="E21" s="83">
        <f>'Model Operations'!J118/'Model Operations'!J46</f>
        <v>655.72289156626505</v>
      </c>
      <c r="F21" s="83">
        <f>'Model Operations'!K118/'Model Operations'!K46</f>
        <v>655.72289156626505</v>
      </c>
      <c r="G21" s="83">
        <f>'Model Operations'!L118/'Model Operations'!L46</f>
        <v>655.72289156626505</v>
      </c>
      <c r="H21" s="19"/>
      <c r="P21" s="35"/>
      <c r="S21" s="115"/>
      <c r="T21" s="115"/>
      <c r="U21" s="115"/>
      <c r="V21" s="115"/>
      <c r="W21" s="115"/>
      <c r="X21" s="115"/>
      <c r="Y21" s="115"/>
      <c r="Z21" s="115"/>
      <c r="AA21" s="115"/>
      <c r="AB21" s="115"/>
    </row>
    <row r="22" spans="2:28" x14ac:dyDescent="0.35">
      <c r="B22" s="34"/>
      <c r="C22" s="19" t="s">
        <v>144</v>
      </c>
      <c r="D22" s="83">
        <f>SUM('Model Financials'!I23,'Model Financials'!I24,'Model Financials'!I26,'Model Financials'!I30,'Model Financials'!I33,Schedules!I18)/D20</f>
        <v>1429.0264811489078</v>
      </c>
      <c r="E22" s="83">
        <f>SUM('Model Financials'!J23,'Model Financials'!J24,'Model Financials'!J26,'Model Financials'!J30,'Model Financials'!J33,Schedules!J18)/E20</f>
        <v>1424.4979289790747</v>
      </c>
      <c r="F22" s="83">
        <f>SUM('Model Financials'!K23,'Model Financials'!K24,'Model Financials'!K26,'Model Financials'!K30,'Model Financials'!K33,Schedules!K18)/F20</f>
        <v>1400.6976636790514</v>
      </c>
      <c r="G22" s="83">
        <f>SUM('Model Financials'!L23,'Model Financials'!L24,'Model Financials'!L26,'Model Financials'!L30,'Model Financials'!L33,Schedules!L18)/G20</f>
        <v>1376.6093824610271</v>
      </c>
      <c r="H22" s="19"/>
      <c r="P22" s="35"/>
      <c r="S22" s="115"/>
      <c r="T22" s="115"/>
      <c r="U22" s="115"/>
      <c r="V22" s="115"/>
      <c r="W22" s="115"/>
      <c r="X22" s="115"/>
      <c r="Y22" s="115"/>
      <c r="Z22" s="115"/>
      <c r="AA22" s="115"/>
      <c r="AB22" s="115"/>
    </row>
    <row r="23" spans="2:28" ht="9.9" customHeight="1" x14ac:dyDescent="0.35">
      <c r="B23" s="34"/>
      <c r="C23" s="19"/>
      <c r="D23" s="19"/>
      <c r="E23" s="19"/>
      <c r="F23" s="19"/>
      <c r="G23" s="19"/>
      <c r="H23" s="19"/>
      <c r="P23" s="35"/>
      <c r="S23" s="115"/>
      <c r="T23" s="115"/>
      <c r="U23" s="115"/>
      <c r="V23" s="115"/>
      <c r="W23" s="115"/>
      <c r="X23" s="115"/>
      <c r="Y23" s="115"/>
      <c r="Z23" s="115"/>
      <c r="AA23" s="115"/>
      <c r="AB23" s="115"/>
    </row>
    <row r="24" spans="2:28" x14ac:dyDescent="0.35">
      <c r="B24" s="34"/>
      <c r="P24" s="35"/>
      <c r="S24" s="115"/>
      <c r="T24" s="115"/>
      <c r="U24" s="115"/>
      <c r="V24" s="115"/>
      <c r="W24" s="115"/>
      <c r="X24" s="115"/>
      <c r="Y24" s="115"/>
      <c r="Z24" s="115"/>
      <c r="AA24" s="115"/>
      <c r="AB24" s="115"/>
    </row>
    <row r="25" spans="2:28" x14ac:dyDescent="0.35">
      <c r="B25" s="34"/>
      <c r="C25" s="4" t="s">
        <v>146</v>
      </c>
      <c r="D25" s="5"/>
      <c r="E25" s="6"/>
      <c r="F25" s="6"/>
      <c r="G25" s="6"/>
      <c r="H25" s="6"/>
      <c r="P25" s="35"/>
      <c r="S25" s="115"/>
      <c r="T25" s="115"/>
      <c r="U25" s="115"/>
      <c r="V25" s="115"/>
      <c r="W25" s="115"/>
      <c r="X25" s="115"/>
      <c r="Y25" s="115"/>
      <c r="Z25" s="115"/>
      <c r="AA25" s="115"/>
      <c r="AB25" s="115"/>
    </row>
    <row r="26" spans="2:28" x14ac:dyDescent="0.35">
      <c r="B26" s="34"/>
      <c r="P26" s="35"/>
      <c r="S26" s="115"/>
      <c r="T26" s="115"/>
      <c r="U26" s="115"/>
      <c r="V26" s="115"/>
      <c r="W26" s="115"/>
      <c r="X26" s="115"/>
      <c r="Y26" s="115"/>
      <c r="Z26" s="115"/>
      <c r="AA26" s="115"/>
      <c r="AB26" s="115"/>
    </row>
    <row r="27" spans="2:28" x14ac:dyDescent="0.35">
      <c r="B27" s="34"/>
      <c r="C27" s="14" t="s">
        <v>13</v>
      </c>
      <c r="D27" s="16">
        <v>2024</v>
      </c>
      <c r="E27" s="16">
        <v>2025</v>
      </c>
      <c r="F27" s="16">
        <v>2026</v>
      </c>
      <c r="G27" s="16">
        <v>2027</v>
      </c>
      <c r="H27" s="16" t="s">
        <v>147</v>
      </c>
      <c r="P27" s="35"/>
    </row>
    <row r="28" spans="2:28" ht="9.9" customHeight="1" x14ac:dyDescent="0.35">
      <c r="B28" s="34"/>
      <c r="P28" s="35"/>
    </row>
    <row r="29" spans="2:28" x14ac:dyDescent="0.35">
      <c r="B29" s="34"/>
      <c r="C29" s="19" t="s">
        <v>27</v>
      </c>
      <c r="D29" s="26">
        <f>'Model Financials'!I22</f>
        <v>4449573.9549839227</v>
      </c>
      <c r="E29" s="26">
        <f>'Model Financials'!J22</f>
        <v>4449573.9549839227</v>
      </c>
      <c r="F29" s="26">
        <f>'Model Financials'!K22</f>
        <v>4278436.495176848</v>
      </c>
      <c r="G29" s="26">
        <f>'Model Financials'!L22</f>
        <v>4107299.0353697748</v>
      </c>
      <c r="H29" s="107">
        <f>SUM('Model Financials'!H22:V22)</f>
        <v>43265817.926045023</v>
      </c>
      <c r="P29" s="35"/>
      <c r="S29" s="129" t="s">
        <v>167</v>
      </c>
      <c r="T29" s="118"/>
      <c r="U29" s="118"/>
      <c r="V29" s="118"/>
      <c r="W29" s="118"/>
      <c r="X29" s="118"/>
      <c r="Y29" s="118"/>
      <c r="Z29" s="118"/>
      <c r="AA29" s="118"/>
      <c r="AB29" s="119"/>
    </row>
    <row r="30" spans="2:28" x14ac:dyDescent="0.35">
      <c r="B30" s="34"/>
      <c r="C30" s="19" t="s">
        <v>68</v>
      </c>
      <c r="D30" s="26">
        <f>'Model Financials'!I43</f>
        <v>2348005.5985661293</v>
      </c>
      <c r="E30" s="26">
        <f>'Model Financials'!J43</f>
        <v>2367287.479926737</v>
      </c>
      <c r="F30" s="26">
        <f>'Model Financials'!K43</f>
        <v>2240736.3099406855</v>
      </c>
      <c r="G30" s="26">
        <f>'Model Financials'!L43</f>
        <v>2112992.6107522552</v>
      </c>
      <c r="H30" s="107">
        <f>SUM('Model Financials'!H43:V43)</f>
        <v>20524158.453259002</v>
      </c>
      <c r="P30" s="35"/>
      <c r="S30" s="130" t="s">
        <v>168</v>
      </c>
      <c r="T30" s="17"/>
      <c r="U30" s="17"/>
      <c r="V30" s="17"/>
      <c r="W30" s="17"/>
      <c r="X30" s="17"/>
      <c r="Y30" s="17"/>
      <c r="Z30" s="17"/>
      <c r="AA30" s="17"/>
      <c r="AB30" s="122"/>
    </row>
    <row r="31" spans="2:28" x14ac:dyDescent="0.35">
      <c r="B31" s="34"/>
      <c r="C31" s="19" t="s">
        <v>148</v>
      </c>
      <c r="D31" s="26">
        <f>D30-Schedules!I18</f>
        <v>1864134.6308241938</v>
      </c>
      <c r="E31" s="26">
        <f>E30-Schedules!J18</f>
        <v>1883416.5121848015</v>
      </c>
      <c r="F31" s="26">
        <f>F30-Schedules!K18</f>
        <v>1756865.34219875</v>
      </c>
      <c r="G31" s="26">
        <f>G30-Schedules!L18</f>
        <v>1629121.6430103197</v>
      </c>
      <c r="H31" s="107">
        <f>H30-SUM(Schedules!H18:V18)</f>
        <v>13749964.904871907</v>
      </c>
      <c r="P31" s="35"/>
      <c r="S31" s="130" t="s">
        <v>169</v>
      </c>
      <c r="T31" s="17"/>
      <c r="U31" s="17"/>
      <c r="V31" s="17"/>
      <c r="W31" s="17"/>
      <c r="X31" s="17"/>
      <c r="Y31" s="17" t="s">
        <v>171</v>
      </c>
      <c r="Z31" s="131" t="s">
        <v>172</v>
      </c>
      <c r="AA31" s="17"/>
      <c r="AB31" s="122"/>
    </row>
    <row r="32" spans="2:28" x14ac:dyDescent="0.35">
      <c r="B32" s="34"/>
      <c r="C32" s="19" t="s">
        <v>149</v>
      </c>
      <c r="D32" s="82">
        <f>D31/D29</f>
        <v>0.41894676876562431</v>
      </c>
      <c r="E32" s="82">
        <f t="shared" ref="E32:G32" si="0">E31/E29</f>
        <v>0.42328019069673084</v>
      </c>
      <c r="F32" s="82">
        <f t="shared" si="0"/>
        <v>0.41063256266145198</v>
      </c>
      <c r="G32" s="82">
        <f t="shared" si="0"/>
        <v>0.3966406217276196</v>
      </c>
      <c r="H32" s="82">
        <f t="shared" ref="E32:H32" si="1">H31/H29</f>
        <v>0.31780203319800748</v>
      </c>
      <c r="P32" s="35"/>
      <c r="S32" s="130" t="s">
        <v>170</v>
      </c>
      <c r="T32" s="17"/>
      <c r="U32" s="17"/>
      <c r="V32" s="17"/>
      <c r="W32" s="17"/>
      <c r="X32" s="17"/>
      <c r="Y32" s="17"/>
      <c r="Z32" s="17"/>
      <c r="AA32" s="17"/>
      <c r="AB32" s="122"/>
    </row>
    <row r="33" spans="2:28" x14ac:dyDescent="0.35">
      <c r="B33" s="34"/>
      <c r="C33" s="19" t="s">
        <v>150</v>
      </c>
      <c r="D33" s="108">
        <f>'Model Financials'!I28/'Model Financials'!I30</f>
        <v>17.698082910725123</v>
      </c>
      <c r="E33" s="108">
        <f>'Model Financials'!J28/'Model Financials'!J30</f>
        <v>19.084407711840893</v>
      </c>
      <c r="F33" s="108">
        <f>'Model Financials'!K28/'Model Financials'!K30</f>
        <v>19.378873036191724</v>
      </c>
      <c r="G33" s="108">
        <f>'Model Financials'!L28/'Model Financials'!L30</f>
        <v>19.850562572984181</v>
      </c>
      <c r="H33" s="19"/>
      <c r="P33" s="35"/>
      <c r="S33" s="130"/>
      <c r="T33" s="17"/>
      <c r="U33" s="17"/>
      <c r="V33" s="17"/>
      <c r="W33" s="17"/>
      <c r="X33" s="17"/>
      <c r="Y33" s="17"/>
      <c r="Z33" s="17"/>
      <c r="AA33" s="17"/>
      <c r="AB33" s="122"/>
    </row>
    <row r="34" spans="2:28" x14ac:dyDescent="0.35">
      <c r="B34" s="34"/>
      <c r="C34" s="19" t="s">
        <v>151</v>
      </c>
      <c r="D34" s="108">
        <f>'Model Financials'!I77/('Model Financials'!I28+'Model Financials'!I25)</f>
        <v>0.73095316293674784</v>
      </c>
      <c r="E34" s="108">
        <f>'Model Financials'!J77/('Model Financials'!J28+'Model Financials'!J25)</f>
        <v>0.67026078096828667</v>
      </c>
      <c r="F34" s="108">
        <f>'Model Financials'!K77/('Model Financials'!K28+'Model Financials'!K25)</f>
        <v>0.64299867205019723</v>
      </c>
      <c r="G34" s="108">
        <f>'Model Financials'!L77/('Model Financials'!L28+'Model Financials'!L25)</f>
        <v>0.60782011843515604</v>
      </c>
      <c r="H34" s="19"/>
      <c r="P34" s="35"/>
      <c r="S34" s="132"/>
      <c r="T34" s="15"/>
      <c r="U34" s="15"/>
      <c r="V34" s="15"/>
      <c r="W34" s="15"/>
      <c r="X34" s="15"/>
      <c r="Y34" s="15"/>
      <c r="Z34" s="15"/>
      <c r="AA34" s="15"/>
      <c r="AB34" s="125"/>
    </row>
    <row r="35" spans="2:28" x14ac:dyDescent="0.35">
      <c r="B35" s="34"/>
      <c r="P35" s="35"/>
    </row>
    <row r="36" spans="2:28" ht="15" thickBot="1" x14ac:dyDescent="0.4">
      <c r="B36" s="62"/>
      <c r="C36" s="31"/>
      <c r="D36" s="31"/>
      <c r="E36" s="31"/>
      <c r="F36" s="31"/>
      <c r="G36" s="31"/>
      <c r="H36" s="31"/>
      <c r="I36" s="31"/>
      <c r="J36" s="31"/>
      <c r="K36" s="31"/>
      <c r="L36" s="31"/>
      <c r="M36" s="31"/>
      <c r="N36" s="31"/>
      <c r="O36" s="31"/>
      <c r="P36" s="33"/>
    </row>
    <row r="42" spans="2:28" x14ac:dyDescent="0.35">
      <c r="C42" s="7"/>
    </row>
    <row r="45" spans="2:28" x14ac:dyDescent="0.35">
      <c r="D45" s="2"/>
    </row>
    <row r="46" spans="2:28" x14ac:dyDescent="0.35">
      <c r="C46" s="11"/>
      <c r="D46" s="3"/>
    </row>
    <row r="47" spans="2:28" x14ac:dyDescent="0.35">
      <c r="C47" s="11"/>
      <c r="D47" s="3"/>
    </row>
  </sheetData>
  <mergeCells count="3">
    <mergeCell ref="B3:P5"/>
    <mergeCell ref="B11:G12"/>
    <mergeCell ref="L14:N14"/>
  </mergeCells>
  <hyperlinks>
    <hyperlink ref="Z31" r:id="rId1" xr:uid="{1E6761DA-C233-43B1-B94E-9DB0D45625C9}"/>
  </hyperlinks>
  <pageMargins left="0.7" right="0.7" top="0.75" bottom="0.75" header="0.3" footer="0.3"/>
  <pageSetup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F0F64-E7F2-4E31-BBB1-8C0B9A44F949}">
  <dimension ref="B2:V70"/>
  <sheetViews>
    <sheetView tabSelected="1" zoomScale="85" zoomScaleNormal="85" workbookViewId="0">
      <pane xSplit="5" ySplit="12" topLeftCell="F14" activePane="bottomRight" state="frozen"/>
      <selection pane="topRight" activeCell="F1" sqref="F1"/>
      <selection pane="bottomLeft" activeCell="A13" sqref="A13"/>
      <selection pane="bottomRight" activeCell="G14" sqref="G14"/>
    </sheetView>
  </sheetViews>
  <sheetFormatPr defaultColWidth="9.08984375" defaultRowHeight="14.5" x14ac:dyDescent="0.35"/>
  <cols>
    <col min="1" max="1" width="9.08984375" style="1"/>
    <col min="2" max="2" width="3.6328125" style="1" customWidth="1"/>
    <col min="3" max="3" width="24.08984375" style="1" bestFit="1" customWidth="1"/>
    <col min="4" max="4" width="8.453125" style="1" customWidth="1"/>
    <col min="5" max="17" width="15.6328125" style="1" customWidth="1"/>
    <col min="18" max="18" width="3.6328125" style="1" customWidth="1"/>
    <col min="19" max="16384" width="9.08984375" style="1"/>
  </cols>
  <sheetData>
    <row r="2" spans="2:22" ht="15" thickBot="1" x14ac:dyDescent="0.4"/>
    <row r="3" spans="2:22" ht="15" customHeight="1" x14ac:dyDescent="0.35">
      <c r="B3" s="143" t="s">
        <v>137</v>
      </c>
      <c r="C3" s="144"/>
      <c r="D3" s="144"/>
      <c r="E3" s="144"/>
      <c r="F3" s="144"/>
      <c r="G3" s="144"/>
      <c r="H3" s="100"/>
      <c r="I3" s="100"/>
      <c r="J3" s="100"/>
      <c r="K3" s="100"/>
      <c r="L3" s="100"/>
      <c r="M3" s="100"/>
      <c r="N3" s="100"/>
      <c r="O3" s="100"/>
      <c r="P3" s="100"/>
      <c r="Q3" s="100"/>
      <c r="R3" s="101"/>
    </row>
    <row r="4" spans="2:22" ht="15" customHeight="1" x14ac:dyDescent="0.35">
      <c r="B4" s="145"/>
      <c r="C4" s="146"/>
      <c r="D4" s="146"/>
      <c r="E4" s="146"/>
      <c r="F4" s="146"/>
      <c r="G4" s="146"/>
      <c r="H4" s="17"/>
      <c r="I4" s="17"/>
      <c r="J4" s="17"/>
      <c r="K4" s="17"/>
      <c r="L4" s="17"/>
      <c r="M4" s="17"/>
      <c r="N4" s="17"/>
      <c r="O4" s="17"/>
      <c r="P4" s="17"/>
      <c r="Q4" s="17"/>
      <c r="R4" s="104"/>
    </row>
    <row r="5" spans="2:22" x14ac:dyDescent="0.35">
      <c r="B5" s="34"/>
      <c r="R5" s="35"/>
    </row>
    <row r="6" spans="2:22" ht="15" thickBot="1" x14ac:dyDescent="0.4">
      <c r="B6" s="34"/>
      <c r="R6" s="35"/>
    </row>
    <row r="7" spans="2:22" ht="15" customHeight="1" x14ac:dyDescent="0.35">
      <c r="B7" s="34"/>
      <c r="C7" s="148" t="s">
        <v>135</v>
      </c>
      <c r="D7" s="149"/>
      <c r="E7" s="149"/>
      <c r="F7" s="100"/>
      <c r="G7" s="100"/>
      <c r="H7" s="100"/>
      <c r="I7" s="100"/>
      <c r="J7" s="100"/>
      <c r="K7" s="100"/>
      <c r="L7" s="100"/>
      <c r="M7" s="100"/>
      <c r="N7" s="100"/>
      <c r="O7" s="100"/>
      <c r="P7" s="100"/>
      <c r="Q7" s="101"/>
      <c r="R7" s="35"/>
    </row>
    <row r="8" spans="2:22" ht="15" customHeight="1" thickBot="1" x14ac:dyDescent="0.4">
      <c r="B8" s="34"/>
      <c r="C8" s="150"/>
      <c r="D8" s="151"/>
      <c r="E8" s="151"/>
      <c r="F8" s="102"/>
      <c r="G8" s="102"/>
      <c r="H8" s="102"/>
      <c r="I8" s="102"/>
      <c r="J8" s="102"/>
      <c r="K8" s="102"/>
      <c r="L8" s="102"/>
      <c r="M8" s="102"/>
      <c r="N8" s="102"/>
      <c r="O8" s="102"/>
      <c r="P8" s="102"/>
      <c r="Q8" s="103"/>
      <c r="R8" s="35"/>
    </row>
    <row r="9" spans="2:22" x14ac:dyDescent="0.35">
      <c r="B9" s="34"/>
      <c r="C9" s="34"/>
      <c r="Q9" s="35"/>
      <c r="R9" s="35"/>
    </row>
    <row r="10" spans="2:22" x14ac:dyDescent="0.35">
      <c r="B10" s="34"/>
      <c r="C10" s="36" t="s">
        <v>124</v>
      </c>
      <c r="D10" s="5"/>
      <c r="E10" s="6"/>
      <c r="F10" s="6"/>
      <c r="G10" s="6"/>
      <c r="H10" s="6"/>
      <c r="I10" s="6"/>
      <c r="J10" s="6"/>
      <c r="K10" s="6"/>
      <c r="L10" s="6"/>
      <c r="M10" s="6"/>
      <c r="N10" s="6"/>
      <c r="O10" s="6"/>
      <c r="P10" s="6"/>
      <c r="Q10" s="37"/>
      <c r="R10" s="105"/>
      <c r="S10" s="12"/>
      <c r="T10" s="12"/>
      <c r="U10" s="12"/>
      <c r="V10" s="12"/>
    </row>
    <row r="11" spans="2:22" ht="9.9" customHeight="1" x14ac:dyDescent="0.35">
      <c r="B11" s="34"/>
      <c r="C11" s="38"/>
      <c r="D11" s="13"/>
      <c r="E11" s="13"/>
      <c r="Q11" s="35"/>
      <c r="R11" s="35"/>
    </row>
    <row r="12" spans="2:22" x14ac:dyDescent="0.35">
      <c r="B12" s="34"/>
      <c r="C12" s="39" t="s">
        <v>13</v>
      </c>
      <c r="D12" s="15"/>
      <c r="E12" s="15"/>
      <c r="F12" s="16">
        <v>2023</v>
      </c>
      <c r="G12" s="16">
        <v>2024</v>
      </c>
      <c r="H12" s="16">
        <v>2025</v>
      </c>
      <c r="I12" s="16">
        <v>2026</v>
      </c>
      <c r="J12" s="16">
        <v>2027</v>
      </c>
      <c r="K12" s="16">
        <v>2028</v>
      </c>
      <c r="L12" s="16">
        <v>2029</v>
      </c>
      <c r="M12" s="16">
        <v>2030</v>
      </c>
      <c r="N12" s="16">
        <v>2031</v>
      </c>
      <c r="O12" s="16">
        <v>2032</v>
      </c>
      <c r="P12" s="16">
        <v>2033</v>
      </c>
      <c r="Q12" s="40" t="s">
        <v>30</v>
      </c>
      <c r="R12" s="35"/>
    </row>
    <row r="13" spans="2:22" ht="9.9" customHeight="1" x14ac:dyDescent="0.35">
      <c r="B13" s="34"/>
      <c r="C13" s="41"/>
      <c r="F13" s="18"/>
      <c r="G13" s="18"/>
      <c r="H13" s="18"/>
      <c r="I13" s="18"/>
      <c r="J13" s="18"/>
      <c r="K13" s="18"/>
      <c r="L13" s="18"/>
      <c r="M13" s="18"/>
      <c r="N13" s="18"/>
      <c r="O13" s="18"/>
      <c r="P13" s="18"/>
      <c r="Q13" s="42"/>
      <c r="R13" s="35"/>
    </row>
    <row r="14" spans="2:22" ht="15" thickBot="1" x14ac:dyDescent="0.4">
      <c r="B14" s="34"/>
      <c r="C14" s="43" t="s">
        <v>131</v>
      </c>
      <c r="D14" s="44"/>
      <c r="E14" s="44"/>
      <c r="F14" s="45">
        <v>1950</v>
      </c>
      <c r="G14" s="45">
        <v>2600</v>
      </c>
      <c r="H14" s="45">
        <v>2600</v>
      </c>
      <c r="I14" s="45">
        <v>2500</v>
      </c>
      <c r="J14" s="45">
        <v>2400</v>
      </c>
      <c r="K14" s="45">
        <v>2300</v>
      </c>
      <c r="L14" s="45">
        <v>2200</v>
      </c>
      <c r="M14" s="45">
        <v>2100</v>
      </c>
      <c r="N14" s="45">
        <v>2000</v>
      </c>
      <c r="O14" s="45">
        <v>2000</v>
      </c>
      <c r="P14" s="45">
        <v>2000</v>
      </c>
      <c r="Q14" s="46">
        <f>P14</f>
        <v>2000</v>
      </c>
      <c r="R14" s="35"/>
    </row>
    <row r="15" spans="2:22" ht="15" thickBot="1" x14ac:dyDescent="0.4">
      <c r="B15" s="34"/>
      <c r="C15" s="43" t="s">
        <v>126</v>
      </c>
      <c r="D15" s="44"/>
      <c r="E15" s="23">
        <v>0</v>
      </c>
      <c r="F15" s="47">
        <f t="shared" ref="F15:Q15" si="0">$E$15</f>
        <v>0</v>
      </c>
      <c r="G15" s="47">
        <f t="shared" si="0"/>
        <v>0</v>
      </c>
      <c r="H15" s="47">
        <f t="shared" si="0"/>
        <v>0</v>
      </c>
      <c r="I15" s="47">
        <f t="shared" si="0"/>
        <v>0</v>
      </c>
      <c r="J15" s="47">
        <f t="shared" si="0"/>
        <v>0</v>
      </c>
      <c r="K15" s="47">
        <f t="shared" si="0"/>
        <v>0</v>
      </c>
      <c r="L15" s="47">
        <f t="shared" si="0"/>
        <v>0</v>
      </c>
      <c r="M15" s="47">
        <f t="shared" si="0"/>
        <v>0</v>
      </c>
      <c r="N15" s="47">
        <f t="shared" si="0"/>
        <v>0</v>
      </c>
      <c r="O15" s="47">
        <f t="shared" si="0"/>
        <v>0</v>
      </c>
      <c r="P15" s="47">
        <f t="shared" si="0"/>
        <v>0</v>
      </c>
      <c r="Q15" s="48">
        <f t="shared" si="0"/>
        <v>0</v>
      </c>
      <c r="R15" s="35"/>
    </row>
    <row r="16" spans="2:22" ht="15" thickBot="1" x14ac:dyDescent="0.4">
      <c r="B16" s="34"/>
      <c r="C16" s="43" t="s">
        <v>29</v>
      </c>
      <c r="D16" s="44"/>
      <c r="E16" s="23">
        <v>0.05</v>
      </c>
      <c r="F16" s="47">
        <f t="shared" ref="F16:Q16" si="1">$E$16</f>
        <v>0.05</v>
      </c>
      <c r="G16" s="47">
        <f t="shared" si="1"/>
        <v>0.05</v>
      </c>
      <c r="H16" s="47">
        <f t="shared" si="1"/>
        <v>0.05</v>
      </c>
      <c r="I16" s="47">
        <f t="shared" si="1"/>
        <v>0.05</v>
      </c>
      <c r="J16" s="47">
        <f t="shared" si="1"/>
        <v>0.05</v>
      </c>
      <c r="K16" s="47">
        <f t="shared" si="1"/>
        <v>0.05</v>
      </c>
      <c r="L16" s="47">
        <f t="shared" si="1"/>
        <v>0.05</v>
      </c>
      <c r="M16" s="47">
        <f t="shared" si="1"/>
        <v>0.05</v>
      </c>
      <c r="N16" s="47">
        <f t="shared" si="1"/>
        <v>0.05</v>
      </c>
      <c r="O16" s="47">
        <f t="shared" si="1"/>
        <v>0.05</v>
      </c>
      <c r="P16" s="47">
        <f t="shared" si="1"/>
        <v>0.05</v>
      </c>
      <c r="Q16" s="48">
        <f t="shared" si="1"/>
        <v>0.05</v>
      </c>
      <c r="R16" s="35"/>
    </row>
    <row r="17" spans="2:18" x14ac:dyDescent="0.35">
      <c r="B17" s="34"/>
      <c r="C17" s="43" t="s">
        <v>28</v>
      </c>
      <c r="D17" s="44"/>
      <c r="E17" s="44"/>
      <c r="F17" s="49">
        <f>F14*(1+F15)*(1-F16)</f>
        <v>1852.5</v>
      </c>
      <c r="G17" s="49">
        <f t="shared" ref="G17:Q17" si="2">G14*(1+G15)*(1-G16)</f>
        <v>2470</v>
      </c>
      <c r="H17" s="49">
        <f t="shared" si="2"/>
        <v>2470</v>
      </c>
      <c r="I17" s="49">
        <f t="shared" si="2"/>
        <v>2375</v>
      </c>
      <c r="J17" s="49">
        <f t="shared" si="2"/>
        <v>2280</v>
      </c>
      <c r="K17" s="49">
        <f t="shared" si="2"/>
        <v>2185</v>
      </c>
      <c r="L17" s="49">
        <f t="shared" si="2"/>
        <v>2090</v>
      </c>
      <c r="M17" s="49">
        <f t="shared" si="2"/>
        <v>1995</v>
      </c>
      <c r="N17" s="49">
        <f t="shared" si="2"/>
        <v>1900</v>
      </c>
      <c r="O17" s="49">
        <f t="shared" si="2"/>
        <v>1900</v>
      </c>
      <c r="P17" s="49">
        <f t="shared" si="2"/>
        <v>1900</v>
      </c>
      <c r="Q17" s="50">
        <f t="shared" si="2"/>
        <v>1900</v>
      </c>
      <c r="R17" s="35"/>
    </row>
    <row r="18" spans="2:18" x14ac:dyDescent="0.35">
      <c r="B18" s="34"/>
      <c r="C18" s="34"/>
      <c r="Q18" s="35"/>
      <c r="R18" s="35"/>
    </row>
    <row r="19" spans="2:18" x14ac:dyDescent="0.35">
      <c r="B19" s="34"/>
      <c r="C19" s="36" t="s">
        <v>125</v>
      </c>
      <c r="D19" s="5"/>
      <c r="E19" s="6"/>
      <c r="F19" s="6"/>
      <c r="G19" s="6"/>
      <c r="H19" s="6"/>
      <c r="I19" s="6"/>
      <c r="J19" s="6"/>
      <c r="K19" s="6"/>
      <c r="L19" s="6"/>
      <c r="M19" s="6"/>
      <c r="N19" s="6"/>
      <c r="O19" s="6"/>
      <c r="P19" s="6"/>
      <c r="Q19" s="37"/>
      <c r="R19" s="35"/>
    </row>
    <row r="20" spans="2:18" ht="9.9" customHeight="1" x14ac:dyDescent="0.35">
      <c r="B20" s="34"/>
      <c r="C20" s="34"/>
      <c r="Q20" s="35"/>
      <c r="R20" s="35"/>
    </row>
    <row r="21" spans="2:18" ht="43.5" x14ac:dyDescent="0.35">
      <c r="B21" s="34"/>
      <c r="C21" s="51" t="s">
        <v>0</v>
      </c>
      <c r="D21" s="14"/>
      <c r="E21" s="20" t="s">
        <v>1</v>
      </c>
      <c r="F21" s="20" t="s">
        <v>5</v>
      </c>
      <c r="G21" s="20" t="s">
        <v>8</v>
      </c>
      <c r="H21" s="20" t="s">
        <v>6</v>
      </c>
      <c r="I21" s="20" t="s">
        <v>7</v>
      </c>
      <c r="J21" s="20" t="s">
        <v>16</v>
      </c>
      <c r="K21" s="20" t="s">
        <v>17</v>
      </c>
      <c r="L21" s="20" t="s">
        <v>15</v>
      </c>
      <c r="M21" s="21" t="s">
        <v>121</v>
      </c>
      <c r="O21" s="28" t="s">
        <v>122</v>
      </c>
      <c r="P21" s="29">
        <f>MAX(M23:M25)</f>
        <v>13.333333333333334</v>
      </c>
      <c r="Q21" s="35"/>
      <c r="R21" s="35"/>
    </row>
    <row r="22" spans="2:18" ht="9.9" customHeight="1" x14ac:dyDescent="0.35">
      <c r="B22" s="34"/>
      <c r="C22" s="34"/>
      <c r="H22" s="30"/>
      <c r="Q22" s="35"/>
      <c r="R22" s="35"/>
    </row>
    <row r="23" spans="2:18" x14ac:dyDescent="0.35">
      <c r="B23" s="34"/>
      <c r="C23" s="52" t="s">
        <v>2</v>
      </c>
      <c r="D23" s="19"/>
      <c r="E23" s="53">
        <v>10000</v>
      </c>
      <c r="F23" s="54">
        <v>12</v>
      </c>
      <c r="G23" s="55">
        <f>(F23*E23)/31.1</f>
        <v>3858.5209003215432</v>
      </c>
      <c r="H23" s="56">
        <v>0.9</v>
      </c>
      <c r="I23" s="57">
        <f>H23*G23</f>
        <v>3472.6688102893891</v>
      </c>
      <c r="J23" s="54">
        <v>5</v>
      </c>
      <c r="K23" s="54">
        <v>275</v>
      </c>
      <c r="L23" s="55">
        <f>K23*J23</f>
        <v>1375</v>
      </c>
      <c r="M23" s="58">
        <f>E23/L23</f>
        <v>7.2727272727272725</v>
      </c>
      <c r="Q23" s="35"/>
      <c r="R23" s="35"/>
    </row>
    <row r="24" spans="2:18" x14ac:dyDescent="0.35">
      <c r="B24" s="34"/>
      <c r="C24" s="52" t="s">
        <v>3</v>
      </c>
      <c r="D24" s="19"/>
      <c r="E24" s="53">
        <v>15000</v>
      </c>
      <c r="F24" s="54">
        <v>15</v>
      </c>
      <c r="G24" s="55">
        <f t="shared" ref="G24:G25" si="3">(F24*E24)/31.1</f>
        <v>7234.7266881028936</v>
      </c>
      <c r="H24" s="56">
        <v>0.9</v>
      </c>
      <c r="I24" s="57">
        <f t="shared" ref="I24:I25" si="4">H24*G24</f>
        <v>6511.2540192926044</v>
      </c>
      <c r="J24" s="54">
        <v>5</v>
      </c>
      <c r="K24" s="54">
        <v>250</v>
      </c>
      <c r="L24" s="55">
        <f>K24*J24</f>
        <v>1250</v>
      </c>
      <c r="M24" s="58">
        <f>E24/L24</f>
        <v>12</v>
      </c>
      <c r="Q24" s="35"/>
      <c r="R24" s="35"/>
    </row>
    <row r="25" spans="2:18" x14ac:dyDescent="0.35">
      <c r="B25" s="34"/>
      <c r="C25" s="52" t="s">
        <v>4</v>
      </c>
      <c r="D25" s="19"/>
      <c r="E25" s="53">
        <v>20000</v>
      </c>
      <c r="F25" s="54">
        <v>18</v>
      </c>
      <c r="G25" s="55">
        <f t="shared" si="3"/>
        <v>11575.56270096463</v>
      </c>
      <c r="H25" s="56">
        <v>0.9</v>
      </c>
      <c r="I25" s="57">
        <f t="shared" si="4"/>
        <v>10418.006430868169</v>
      </c>
      <c r="J25" s="54">
        <v>6</v>
      </c>
      <c r="K25" s="54">
        <v>250</v>
      </c>
      <c r="L25" s="55">
        <f>K25*J25</f>
        <v>1500</v>
      </c>
      <c r="M25" s="58">
        <f>E25/L25</f>
        <v>13.333333333333334</v>
      </c>
      <c r="Q25" s="35"/>
      <c r="R25" s="35"/>
    </row>
    <row r="26" spans="2:18" x14ac:dyDescent="0.35">
      <c r="B26" s="34"/>
      <c r="C26" s="34"/>
      <c r="Q26" s="35"/>
      <c r="R26" s="35"/>
    </row>
    <row r="27" spans="2:18" x14ac:dyDescent="0.35">
      <c r="B27" s="34"/>
      <c r="C27" s="36" t="s">
        <v>55</v>
      </c>
      <c r="D27" s="5"/>
      <c r="E27" s="6"/>
      <c r="F27" s="6"/>
      <c r="G27" s="6"/>
      <c r="H27" s="6"/>
      <c r="I27" s="6"/>
      <c r="J27" s="6"/>
      <c r="K27" s="6"/>
      <c r="L27" s="6"/>
      <c r="M27" s="6"/>
      <c r="N27" s="6"/>
      <c r="O27" s="6"/>
      <c r="P27" s="6"/>
      <c r="Q27" s="37"/>
      <c r="R27" s="35"/>
    </row>
    <row r="28" spans="2:18" ht="9.9" customHeight="1" x14ac:dyDescent="0.35">
      <c r="B28" s="34"/>
      <c r="C28" s="34"/>
      <c r="Q28" s="35"/>
      <c r="R28" s="35"/>
    </row>
    <row r="29" spans="2:18" x14ac:dyDescent="0.35">
      <c r="B29" s="34"/>
      <c r="C29" s="59"/>
      <c r="D29" s="152" t="s">
        <v>36</v>
      </c>
      <c r="E29" s="152"/>
      <c r="F29" s="152"/>
      <c r="G29" s="152" t="s">
        <v>41</v>
      </c>
      <c r="H29" s="152"/>
      <c r="I29" s="152"/>
      <c r="Q29" s="35"/>
      <c r="R29" s="35"/>
    </row>
    <row r="30" spans="2:18" x14ac:dyDescent="0.35">
      <c r="B30" s="34"/>
      <c r="C30" s="51" t="s">
        <v>0</v>
      </c>
      <c r="D30" s="20" t="s">
        <v>33</v>
      </c>
      <c r="E30" s="20" t="s">
        <v>34</v>
      </c>
      <c r="F30" s="20" t="s">
        <v>35</v>
      </c>
      <c r="G30" s="22" t="s">
        <v>38</v>
      </c>
      <c r="H30" s="20" t="s">
        <v>39</v>
      </c>
      <c r="I30" s="20" t="s">
        <v>40</v>
      </c>
      <c r="Q30" s="35"/>
      <c r="R30" s="35"/>
    </row>
    <row r="31" spans="2:18" ht="9.9" customHeight="1" x14ac:dyDescent="0.35">
      <c r="B31" s="34"/>
      <c r="C31" s="60"/>
      <c r="D31" s="30"/>
      <c r="E31" s="30"/>
      <c r="F31" s="30"/>
      <c r="G31" s="24"/>
      <c r="H31" s="30"/>
      <c r="I31" s="30"/>
      <c r="Q31" s="35"/>
      <c r="R31" s="35"/>
    </row>
    <row r="32" spans="2:18" x14ac:dyDescent="0.35">
      <c r="B32" s="34"/>
      <c r="C32" s="52" t="s">
        <v>2</v>
      </c>
      <c r="D32" s="54">
        <v>10</v>
      </c>
      <c r="E32" s="61">
        <v>50</v>
      </c>
      <c r="F32" s="54">
        <v>20</v>
      </c>
      <c r="G32" s="27">
        <v>80000</v>
      </c>
      <c r="H32" s="53">
        <v>25000</v>
      </c>
      <c r="I32" s="53">
        <v>50000</v>
      </c>
      <c r="Q32" s="35"/>
      <c r="R32" s="35"/>
    </row>
    <row r="33" spans="2:18" x14ac:dyDescent="0.35">
      <c r="B33" s="34"/>
      <c r="C33" s="52" t="s">
        <v>3</v>
      </c>
      <c r="D33" s="54">
        <v>20</v>
      </c>
      <c r="E33" s="61">
        <v>50</v>
      </c>
      <c r="F33" s="54">
        <v>25</v>
      </c>
      <c r="G33" s="27">
        <v>150000</v>
      </c>
      <c r="H33" s="53">
        <v>50000</v>
      </c>
      <c r="I33" s="53">
        <v>30000</v>
      </c>
      <c r="Q33" s="35"/>
      <c r="R33" s="35"/>
    </row>
    <row r="34" spans="2:18" x14ac:dyDescent="0.35">
      <c r="B34" s="34"/>
      <c r="C34" s="52" t="s">
        <v>4</v>
      </c>
      <c r="D34" s="54">
        <v>15</v>
      </c>
      <c r="E34" s="61">
        <v>40</v>
      </c>
      <c r="F34" s="54">
        <v>30</v>
      </c>
      <c r="G34" s="27">
        <v>250000</v>
      </c>
      <c r="H34" s="53">
        <v>150000</v>
      </c>
      <c r="I34" s="53">
        <v>40000</v>
      </c>
      <c r="Q34" s="35"/>
      <c r="R34" s="35"/>
    </row>
    <row r="35" spans="2:18" ht="15" thickBot="1" x14ac:dyDescent="0.4">
      <c r="B35" s="34"/>
      <c r="C35" s="62"/>
      <c r="D35" s="31"/>
      <c r="E35" s="31"/>
      <c r="F35" s="31"/>
      <c r="G35" s="31"/>
      <c r="H35" s="31"/>
      <c r="I35" s="31"/>
      <c r="J35" s="31"/>
      <c r="K35" s="31"/>
      <c r="L35" s="31"/>
      <c r="M35" s="31"/>
      <c r="N35" s="31"/>
      <c r="O35" s="31"/>
      <c r="P35" s="31"/>
      <c r="Q35" s="33"/>
      <c r="R35" s="35"/>
    </row>
    <row r="36" spans="2:18" x14ac:dyDescent="0.35">
      <c r="B36" s="34"/>
      <c r="R36" s="35"/>
    </row>
    <row r="37" spans="2:18" ht="15" thickBot="1" x14ac:dyDescent="0.4">
      <c r="B37" s="34"/>
      <c r="R37" s="35"/>
    </row>
    <row r="38" spans="2:18" ht="15" customHeight="1" x14ac:dyDescent="0.35">
      <c r="B38" s="34"/>
      <c r="C38" s="148" t="s">
        <v>136</v>
      </c>
      <c r="D38" s="149"/>
      <c r="E38" s="149"/>
      <c r="F38" s="100"/>
      <c r="G38" s="100"/>
      <c r="H38" s="100"/>
      <c r="I38" s="100"/>
      <c r="J38" s="100"/>
      <c r="K38" s="100"/>
      <c r="L38" s="100"/>
      <c r="M38" s="100"/>
      <c r="N38" s="100"/>
      <c r="O38" s="100"/>
      <c r="P38" s="100"/>
      <c r="Q38" s="101"/>
      <c r="R38" s="35"/>
    </row>
    <row r="39" spans="2:18" ht="15" customHeight="1" thickBot="1" x14ac:dyDescent="0.4">
      <c r="B39" s="34"/>
      <c r="C39" s="150"/>
      <c r="D39" s="151"/>
      <c r="E39" s="151"/>
      <c r="F39" s="102"/>
      <c r="G39" s="102"/>
      <c r="H39" s="102"/>
      <c r="I39" s="102"/>
      <c r="J39" s="102"/>
      <c r="K39" s="102"/>
      <c r="L39" s="102"/>
      <c r="M39" s="102"/>
      <c r="N39" s="102"/>
      <c r="O39" s="102"/>
      <c r="P39" s="102"/>
      <c r="Q39" s="103"/>
      <c r="R39" s="35"/>
    </row>
    <row r="40" spans="2:18" ht="15" customHeight="1" x14ac:dyDescent="0.6">
      <c r="B40" s="34"/>
      <c r="C40" s="63"/>
      <c r="D40" s="32"/>
      <c r="E40" s="32"/>
      <c r="Q40" s="35"/>
      <c r="R40" s="35"/>
    </row>
    <row r="41" spans="2:18" x14ac:dyDescent="0.35">
      <c r="B41" s="34"/>
      <c r="C41" s="36" t="s">
        <v>54</v>
      </c>
      <c r="D41" s="5"/>
      <c r="E41" s="6"/>
      <c r="F41" s="6"/>
      <c r="G41" s="6"/>
      <c r="H41" s="6"/>
      <c r="I41" s="6"/>
      <c r="J41" s="6"/>
      <c r="K41" s="6"/>
      <c r="L41" s="6"/>
      <c r="M41" s="6"/>
      <c r="N41" s="6"/>
      <c r="O41" s="6"/>
      <c r="P41" s="6"/>
      <c r="Q41" s="37"/>
      <c r="R41" s="35"/>
    </row>
    <row r="42" spans="2:18" x14ac:dyDescent="0.35">
      <c r="B42" s="34"/>
      <c r="C42" s="34"/>
      <c r="Q42" s="35"/>
      <c r="R42" s="35"/>
    </row>
    <row r="43" spans="2:18" ht="29" x14ac:dyDescent="0.35">
      <c r="B43" s="34"/>
      <c r="C43" s="64" t="s">
        <v>128</v>
      </c>
      <c r="D43" s="16"/>
      <c r="E43" s="20" t="s">
        <v>127</v>
      </c>
      <c r="F43" s="20" t="s">
        <v>99</v>
      </c>
      <c r="G43" s="16" t="s">
        <v>63</v>
      </c>
      <c r="H43" s="20" t="s">
        <v>107</v>
      </c>
      <c r="I43" s="20" t="s">
        <v>130</v>
      </c>
      <c r="J43" s="16" t="s">
        <v>108</v>
      </c>
      <c r="Q43" s="35"/>
      <c r="R43" s="35"/>
    </row>
    <row r="44" spans="2:18" ht="9.9" customHeight="1" x14ac:dyDescent="0.35">
      <c r="B44" s="34"/>
      <c r="C44" s="65"/>
      <c r="D44" s="18"/>
      <c r="E44" s="25"/>
      <c r="F44" s="25"/>
      <c r="G44" s="18"/>
      <c r="H44" s="25"/>
      <c r="I44" s="25"/>
      <c r="J44" s="18"/>
      <c r="Q44" s="35"/>
      <c r="R44" s="35"/>
    </row>
    <row r="45" spans="2:18" x14ac:dyDescent="0.35">
      <c r="B45" s="34"/>
      <c r="C45" s="52" t="s">
        <v>129</v>
      </c>
      <c r="D45" s="49"/>
      <c r="E45" s="66">
        <v>300000</v>
      </c>
      <c r="F45" s="67">
        <v>0.06</v>
      </c>
      <c r="G45" s="56">
        <v>0.2</v>
      </c>
      <c r="H45" s="133">
        <f>H51/J45</f>
        <v>483870.96774193546</v>
      </c>
      <c r="I45" s="68">
        <v>3</v>
      </c>
      <c r="J45" s="69">
        <f>P21-I45</f>
        <v>10.333333333333334</v>
      </c>
      <c r="Q45" s="35"/>
      <c r="R45" s="35"/>
    </row>
    <row r="46" spans="2:18" x14ac:dyDescent="0.35">
      <c r="B46" s="34"/>
      <c r="C46" s="34"/>
      <c r="Q46" s="35"/>
      <c r="R46" s="35"/>
    </row>
    <row r="47" spans="2:18" x14ac:dyDescent="0.35">
      <c r="B47" s="34"/>
      <c r="C47" s="36" t="s">
        <v>132</v>
      </c>
      <c r="D47" s="5"/>
      <c r="E47" s="6"/>
      <c r="F47" s="6"/>
      <c r="G47" s="6"/>
      <c r="H47" s="6"/>
      <c r="I47" s="6"/>
      <c r="J47" s="6"/>
      <c r="K47" s="6"/>
      <c r="L47" s="6"/>
      <c r="M47" s="6"/>
      <c r="N47" s="6"/>
      <c r="O47" s="6"/>
      <c r="P47" s="6"/>
      <c r="Q47" s="37"/>
      <c r="R47" s="35"/>
    </row>
    <row r="48" spans="2:18" ht="9.9" customHeight="1" x14ac:dyDescent="0.35">
      <c r="B48" s="34"/>
      <c r="C48" s="34"/>
      <c r="Q48" s="35"/>
      <c r="R48" s="35"/>
    </row>
    <row r="49" spans="2:18" ht="29" x14ac:dyDescent="0.35">
      <c r="B49" s="34"/>
      <c r="C49" s="51" t="s">
        <v>128</v>
      </c>
      <c r="D49" s="20"/>
      <c r="E49" s="20" t="s">
        <v>91</v>
      </c>
      <c r="F49" s="20" t="s">
        <v>117</v>
      </c>
      <c r="G49" s="20" t="s">
        <v>118</v>
      </c>
      <c r="H49" s="20" t="s">
        <v>81</v>
      </c>
      <c r="I49" s="20" t="s">
        <v>119</v>
      </c>
      <c r="J49" s="20" t="s">
        <v>86</v>
      </c>
      <c r="K49" s="20" t="s">
        <v>94</v>
      </c>
      <c r="L49" s="20" t="s">
        <v>120</v>
      </c>
      <c r="Q49" s="35"/>
      <c r="R49" s="35"/>
    </row>
    <row r="50" spans="2:18" ht="9.9" customHeight="1" x14ac:dyDescent="0.35">
      <c r="B50" s="34"/>
      <c r="C50" s="65"/>
      <c r="D50" s="18"/>
      <c r="E50" s="25"/>
      <c r="F50" s="25"/>
      <c r="G50" s="18"/>
      <c r="H50" s="25"/>
      <c r="I50" s="25"/>
      <c r="J50" s="18"/>
      <c r="K50" s="30"/>
      <c r="L50" s="30"/>
      <c r="Q50" s="35"/>
      <c r="R50" s="35"/>
    </row>
    <row r="51" spans="2:18" x14ac:dyDescent="0.35">
      <c r="B51" s="34"/>
      <c r="C51" s="52" t="s">
        <v>129</v>
      </c>
      <c r="D51" s="49"/>
      <c r="E51" s="66">
        <v>500000</v>
      </c>
      <c r="F51" s="70">
        <v>0.01</v>
      </c>
      <c r="G51" s="70">
        <v>0.01</v>
      </c>
      <c r="H51" s="71">
        <v>5000000</v>
      </c>
      <c r="I51" s="70">
        <v>0.01</v>
      </c>
      <c r="J51" s="71">
        <v>2500000</v>
      </c>
      <c r="K51" s="71">
        <v>3000000</v>
      </c>
      <c r="L51" s="72">
        <v>0</v>
      </c>
      <c r="Q51" s="35"/>
      <c r="R51" s="35"/>
    </row>
    <row r="52" spans="2:18" x14ac:dyDescent="0.35">
      <c r="B52" s="34"/>
      <c r="C52" s="60"/>
      <c r="D52" s="30"/>
      <c r="E52" s="30"/>
      <c r="F52" s="30"/>
      <c r="G52" s="30"/>
      <c r="H52" s="30"/>
      <c r="I52" s="30"/>
      <c r="J52" s="30"/>
      <c r="K52" s="30"/>
      <c r="L52" s="30"/>
      <c r="Q52" s="35"/>
      <c r="R52" s="35"/>
    </row>
    <row r="53" spans="2:18" x14ac:dyDescent="0.35">
      <c r="B53" s="34"/>
      <c r="C53" s="36" t="s">
        <v>66</v>
      </c>
      <c r="D53" s="5"/>
      <c r="E53" s="6"/>
      <c r="F53" s="6"/>
      <c r="G53" s="6"/>
      <c r="H53" s="6"/>
      <c r="I53" s="6"/>
      <c r="J53" s="6"/>
      <c r="K53" s="6"/>
      <c r="L53" s="6"/>
      <c r="M53" s="6"/>
      <c r="N53" s="6"/>
      <c r="O53" s="6"/>
      <c r="P53" s="6"/>
      <c r="Q53" s="37"/>
      <c r="R53" s="35"/>
    </row>
    <row r="54" spans="2:18" x14ac:dyDescent="0.35">
      <c r="B54" s="34"/>
      <c r="C54" s="34"/>
      <c r="Q54" s="35"/>
      <c r="R54" s="35"/>
    </row>
    <row r="55" spans="2:18" ht="29" x14ac:dyDescent="0.35">
      <c r="B55" s="34"/>
      <c r="C55" s="51" t="s">
        <v>128</v>
      </c>
      <c r="D55" s="20"/>
      <c r="E55" s="20" t="s">
        <v>101</v>
      </c>
      <c r="F55" s="20" t="s">
        <v>133</v>
      </c>
      <c r="G55" s="20" t="s">
        <v>123</v>
      </c>
      <c r="H55" s="20" t="s">
        <v>134</v>
      </c>
      <c r="I55" s="25"/>
      <c r="J55" s="25"/>
      <c r="K55" s="20" t="s">
        <v>156</v>
      </c>
      <c r="L55" s="20" t="s">
        <v>155</v>
      </c>
      <c r="Q55" s="35"/>
      <c r="R55" s="35"/>
    </row>
    <row r="56" spans="2:18" ht="9.9" customHeight="1" x14ac:dyDescent="0.35">
      <c r="B56" s="34"/>
      <c r="C56" s="65"/>
      <c r="D56" s="30"/>
      <c r="E56" s="30"/>
      <c r="F56" s="30"/>
      <c r="G56" s="30"/>
      <c r="H56" s="30"/>
      <c r="I56" s="30"/>
      <c r="J56" s="30"/>
      <c r="K56" s="30"/>
      <c r="L56" s="30"/>
      <c r="Q56" s="35"/>
      <c r="R56" s="35"/>
    </row>
    <row r="57" spans="2:18" x14ac:dyDescent="0.35">
      <c r="B57" s="34"/>
      <c r="C57" s="52" t="s">
        <v>129</v>
      </c>
      <c r="D57" s="19"/>
      <c r="E57" s="73">
        <f>H57</f>
        <v>310336.99829300249</v>
      </c>
      <c r="F57" s="74">
        <v>2</v>
      </c>
      <c r="G57" s="75">
        <f>P21-F57</f>
        <v>11.333333333333334</v>
      </c>
      <c r="H57" s="75">
        <f>J51/((1/F45)-(1/(F45*((1+F45)^G57))))</f>
        <v>310336.99829300249</v>
      </c>
      <c r="K57" s="19" t="s">
        <v>129</v>
      </c>
      <c r="L57" s="109">
        <v>0.15</v>
      </c>
      <c r="Q57" s="35"/>
      <c r="R57" s="35"/>
    </row>
    <row r="58" spans="2:18" ht="15" thickBot="1" x14ac:dyDescent="0.4">
      <c r="B58" s="34"/>
      <c r="C58" s="62"/>
      <c r="D58" s="31"/>
      <c r="E58" s="31"/>
      <c r="F58" s="31"/>
      <c r="G58" s="31"/>
      <c r="H58" s="31"/>
      <c r="I58" s="31"/>
      <c r="J58" s="31"/>
      <c r="K58" s="31"/>
      <c r="L58" s="31"/>
      <c r="M58" s="31"/>
      <c r="N58" s="31"/>
      <c r="O58" s="31"/>
      <c r="P58" s="31"/>
      <c r="Q58" s="33"/>
      <c r="R58" s="35"/>
    </row>
    <row r="59" spans="2:18" ht="15" thickBot="1" x14ac:dyDescent="0.4">
      <c r="B59" s="62"/>
      <c r="C59" s="31"/>
      <c r="D59" s="31"/>
      <c r="E59" s="31"/>
      <c r="F59" s="31"/>
      <c r="G59" s="31"/>
      <c r="H59" s="31"/>
      <c r="I59" s="31"/>
      <c r="J59" s="31"/>
      <c r="K59" s="31"/>
      <c r="L59" s="31"/>
      <c r="M59" s="31"/>
      <c r="N59" s="31"/>
      <c r="O59" s="31"/>
      <c r="P59" s="31"/>
      <c r="Q59" s="31"/>
      <c r="R59" s="33"/>
    </row>
    <row r="65" spans="3:4" x14ac:dyDescent="0.35">
      <c r="C65" s="7"/>
    </row>
    <row r="68" spans="3:4" x14ac:dyDescent="0.35">
      <c r="D68" s="2"/>
    </row>
    <row r="69" spans="3:4" x14ac:dyDescent="0.35">
      <c r="C69" s="11"/>
      <c r="D69" s="3"/>
    </row>
    <row r="70" spans="3:4" x14ac:dyDescent="0.35">
      <c r="C70" s="11"/>
      <c r="D70" s="3"/>
    </row>
  </sheetData>
  <sheetProtection selectLockedCells="1"/>
  <mergeCells count="5">
    <mergeCell ref="C38:E39"/>
    <mergeCell ref="B3:G4"/>
    <mergeCell ref="D29:F29"/>
    <mergeCell ref="G29:I29"/>
    <mergeCell ref="C7:E8"/>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AA71C-8A4E-47DC-887B-60E505C1CF2F}">
  <dimension ref="B2:W121"/>
  <sheetViews>
    <sheetView zoomScale="85" zoomScaleNormal="85" workbookViewId="0">
      <pane xSplit="7" ySplit="3" topLeftCell="H32" activePane="bottomRight" state="frozen"/>
      <selection pane="topRight" activeCell="H1" sqref="H1"/>
      <selection pane="bottomLeft" activeCell="A4" sqref="A4"/>
      <selection pane="bottomRight" activeCell="G4" sqref="G4"/>
    </sheetView>
  </sheetViews>
  <sheetFormatPr defaultColWidth="9.08984375" defaultRowHeight="14.5" x14ac:dyDescent="0.35"/>
  <cols>
    <col min="1" max="1" width="3" style="1" customWidth="1"/>
    <col min="2" max="2" width="3.6328125" style="1" customWidth="1"/>
    <col min="3" max="4" width="9.08984375" style="1"/>
    <col min="5" max="5" width="18" style="1" bestFit="1" customWidth="1"/>
    <col min="6" max="7" width="8.6328125" style="1" customWidth="1"/>
    <col min="8" max="8" width="13.453125" style="1" bestFit="1" customWidth="1"/>
    <col min="9" max="19" width="13.36328125" style="1" bestFit="1" customWidth="1"/>
    <col min="20" max="21" width="11.54296875" style="1" bestFit="1" customWidth="1"/>
    <col min="22" max="22" width="9.453125" style="1" bestFit="1" customWidth="1"/>
    <col min="23" max="23" width="3.6328125" style="1" customWidth="1"/>
    <col min="24" max="16384" width="9.08984375" style="1"/>
  </cols>
  <sheetData>
    <row r="2" spans="2:23" ht="15" thickBot="1" x14ac:dyDescent="0.4"/>
    <row r="3" spans="2:23" ht="16" thickBot="1" x14ac:dyDescent="0.4">
      <c r="B3" s="154" t="s">
        <v>13</v>
      </c>
      <c r="C3" s="155"/>
      <c r="D3" s="78"/>
      <c r="E3" s="78"/>
      <c r="F3" s="78"/>
      <c r="G3" s="78"/>
      <c r="H3" s="78">
        <v>2023</v>
      </c>
      <c r="I3" s="78">
        <v>2024</v>
      </c>
      <c r="J3" s="78">
        <v>2025</v>
      </c>
      <c r="K3" s="78">
        <v>2026</v>
      </c>
      <c r="L3" s="78">
        <v>2027</v>
      </c>
      <c r="M3" s="78">
        <v>2028</v>
      </c>
      <c r="N3" s="78">
        <v>2029</v>
      </c>
      <c r="O3" s="78">
        <v>2030</v>
      </c>
      <c r="P3" s="78">
        <v>2031</v>
      </c>
      <c r="Q3" s="78">
        <v>2032</v>
      </c>
      <c r="R3" s="78">
        <v>2033</v>
      </c>
      <c r="S3" s="78">
        <v>2034</v>
      </c>
      <c r="T3" s="78">
        <v>2035</v>
      </c>
      <c r="U3" s="78">
        <v>2036</v>
      </c>
      <c r="V3" s="78">
        <v>2036</v>
      </c>
      <c r="W3" s="79"/>
    </row>
    <row r="4" spans="2:23" ht="9.9" customHeight="1" x14ac:dyDescent="0.35">
      <c r="B4" s="34"/>
      <c r="W4" s="35"/>
    </row>
    <row r="5" spans="2:23" x14ac:dyDescent="0.35">
      <c r="B5" s="34"/>
      <c r="C5" s="4" t="s">
        <v>9</v>
      </c>
      <c r="D5" s="5"/>
      <c r="E5" s="6"/>
      <c r="F5" s="6"/>
      <c r="G5" s="6"/>
      <c r="H5" s="6"/>
      <c r="I5" s="6"/>
      <c r="J5" s="6"/>
      <c r="K5" s="6"/>
      <c r="L5" s="6"/>
      <c r="M5" s="6"/>
      <c r="N5" s="6"/>
      <c r="O5" s="6"/>
      <c r="P5" s="6"/>
      <c r="Q5" s="6"/>
      <c r="R5" s="6"/>
      <c r="S5" s="6"/>
      <c r="T5" s="6"/>
      <c r="U5" s="6"/>
      <c r="V5" s="6"/>
      <c r="W5" s="35"/>
    </row>
    <row r="6" spans="2:23" ht="9.9" customHeight="1" x14ac:dyDescent="0.35">
      <c r="B6" s="34"/>
      <c r="W6" s="35"/>
    </row>
    <row r="7" spans="2:23" x14ac:dyDescent="0.35">
      <c r="B7" s="34"/>
      <c r="C7" s="19" t="s">
        <v>14</v>
      </c>
      <c r="D7" s="19"/>
      <c r="E7" s="19"/>
      <c r="F7" s="19"/>
      <c r="G7" s="19"/>
      <c r="H7" s="19"/>
      <c r="I7" s="19"/>
      <c r="J7" s="19"/>
      <c r="K7" s="19"/>
      <c r="L7" s="19"/>
      <c r="M7" s="19"/>
      <c r="N7" s="19"/>
      <c r="O7" s="19"/>
      <c r="P7" s="19"/>
      <c r="Q7" s="19"/>
      <c r="R7" s="19"/>
      <c r="S7" s="19"/>
      <c r="T7" s="19"/>
      <c r="U7" s="19"/>
      <c r="V7" s="19"/>
      <c r="W7" s="35"/>
    </row>
    <row r="8" spans="2:23" x14ac:dyDescent="0.35">
      <c r="B8" s="34"/>
      <c r="C8" s="19"/>
      <c r="D8" s="19" t="s">
        <v>10</v>
      </c>
      <c r="E8" s="19"/>
      <c r="F8" s="19"/>
      <c r="G8" s="19"/>
      <c r="H8" s="19">
        <f>'Estimates and Assumptions'!E23</f>
        <v>10000</v>
      </c>
      <c r="I8" s="19">
        <f>H10</f>
        <v>8625</v>
      </c>
      <c r="J8" s="19">
        <f t="shared" ref="J8:V8" si="0">I10</f>
        <v>7250</v>
      </c>
      <c r="K8" s="19">
        <f t="shared" si="0"/>
        <v>5875</v>
      </c>
      <c r="L8" s="19">
        <f t="shared" si="0"/>
        <v>4500</v>
      </c>
      <c r="M8" s="19">
        <f t="shared" si="0"/>
        <v>3125</v>
      </c>
      <c r="N8" s="19">
        <f t="shared" si="0"/>
        <v>1750</v>
      </c>
      <c r="O8" s="19">
        <f t="shared" si="0"/>
        <v>375</v>
      </c>
      <c r="P8" s="19">
        <f t="shared" si="0"/>
        <v>0</v>
      </c>
      <c r="Q8" s="19">
        <f t="shared" si="0"/>
        <v>0</v>
      </c>
      <c r="R8" s="19">
        <f t="shared" si="0"/>
        <v>0</v>
      </c>
      <c r="S8" s="19">
        <f t="shared" si="0"/>
        <v>0</v>
      </c>
      <c r="T8" s="19">
        <f t="shared" si="0"/>
        <v>0</v>
      </c>
      <c r="U8" s="19">
        <f t="shared" si="0"/>
        <v>0</v>
      </c>
      <c r="V8" s="19">
        <f t="shared" si="0"/>
        <v>0</v>
      </c>
      <c r="W8" s="35"/>
    </row>
    <row r="9" spans="2:23" x14ac:dyDescent="0.35">
      <c r="B9" s="34"/>
      <c r="C9" s="19"/>
      <c r="D9" s="19" t="s">
        <v>11</v>
      </c>
      <c r="E9" s="19"/>
      <c r="F9" s="19"/>
      <c r="G9" s="17">
        <f>'Estimates and Assumptions'!L23</f>
        <v>1375</v>
      </c>
      <c r="H9" s="19">
        <f>IF(OR(H8=G9,H8&gt;G9),G9,H8)</f>
        <v>1375</v>
      </c>
      <c r="I9" s="19">
        <f>IF(OR(I8=H9,I8&gt;H9),H9,I8)</f>
        <v>1375</v>
      </c>
      <c r="J9" s="19">
        <f t="shared" ref="J9:V9" si="1">IF(OR(J8=I9,J8&gt;I9),I9,J8)</f>
        <v>1375</v>
      </c>
      <c r="K9" s="19">
        <f t="shared" si="1"/>
        <v>1375</v>
      </c>
      <c r="L9" s="19">
        <f t="shared" si="1"/>
        <v>1375</v>
      </c>
      <c r="M9" s="19">
        <f t="shared" si="1"/>
        <v>1375</v>
      </c>
      <c r="N9" s="19">
        <f t="shared" si="1"/>
        <v>1375</v>
      </c>
      <c r="O9" s="19">
        <f t="shared" si="1"/>
        <v>375</v>
      </c>
      <c r="P9" s="19">
        <f t="shared" si="1"/>
        <v>0</v>
      </c>
      <c r="Q9" s="19">
        <f t="shared" si="1"/>
        <v>0</v>
      </c>
      <c r="R9" s="19">
        <f t="shared" si="1"/>
        <v>0</v>
      </c>
      <c r="S9" s="19">
        <f t="shared" si="1"/>
        <v>0</v>
      </c>
      <c r="T9" s="19">
        <f t="shared" si="1"/>
        <v>0</v>
      </c>
      <c r="U9" s="19">
        <f t="shared" si="1"/>
        <v>0</v>
      </c>
      <c r="V9" s="19">
        <f t="shared" si="1"/>
        <v>0</v>
      </c>
      <c r="W9" s="35"/>
    </row>
    <row r="10" spans="2:23" x14ac:dyDescent="0.35">
      <c r="B10" s="34"/>
      <c r="C10" s="19"/>
      <c r="D10" s="19" t="s">
        <v>12</v>
      </c>
      <c r="E10" s="19"/>
      <c r="F10" s="19"/>
      <c r="G10" s="19"/>
      <c r="H10" s="19">
        <f>H8-H9</f>
        <v>8625</v>
      </c>
      <c r="I10" s="19">
        <f>I8-I9</f>
        <v>7250</v>
      </c>
      <c r="J10" s="19">
        <f t="shared" ref="J10:V10" si="2">J8-J9</f>
        <v>5875</v>
      </c>
      <c r="K10" s="19">
        <f t="shared" si="2"/>
        <v>4500</v>
      </c>
      <c r="L10" s="19">
        <f t="shared" si="2"/>
        <v>3125</v>
      </c>
      <c r="M10" s="19">
        <f t="shared" si="2"/>
        <v>1750</v>
      </c>
      <c r="N10" s="19">
        <f t="shared" si="2"/>
        <v>375</v>
      </c>
      <c r="O10" s="19">
        <f t="shared" si="2"/>
        <v>0</v>
      </c>
      <c r="P10" s="19">
        <f t="shared" si="2"/>
        <v>0</v>
      </c>
      <c r="Q10" s="19">
        <f t="shared" si="2"/>
        <v>0</v>
      </c>
      <c r="R10" s="19">
        <f t="shared" si="2"/>
        <v>0</v>
      </c>
      <c r="S10" s="19">
        <f t="shared" si="2"/>
        <v>0</v>
      </c>
      <c r="T10" s="19">
        <f t="shared" si="2"/>
        <v>0</v>
      </c>
      <c r="U10" s="19">
        <f t="shared" si="2"/>
        <v>0</v>
      </c>
      <c r="V10" s="19">
        <f t="shared" si="2"/>
        <v>0</v>
      </c>
      <c r="W10" s="35"/>
    </row>
    <row r="11" spans="2:23" x14ac:dyDescent="0.35">
      <c r="B11" s="34"/>
      <c r="C11" s="19"/>
      <c r="D11" s="19"/>
      <c r="E11" s="19"/>
      <c r="F11" s="19"/>
      <c r="G11" s="19"/>
      <c r="H11" s="19"/>
      <c r="I11" s="19"/>
      <c r="J11" s="19"/>
      <c r="K11" s="19"/>
      <c r="L11" s="19"/>
      <c r="M11" s="19"/>
      <c r="N11" s="19"/>
      <c r="O11" s="19"/>
      <c r="P11" s="19"/>
      <c r="Q11" s="19"/>
      <c r="R11" s="19"/>
      <c r="S11" s="19"/>
      <c r="T11" s="19"/>
      <c r="U11" s="19"/>
      <c r="V11" s="19"/>
      <c r="W11" s="35"/>
    </row>
    <row r="12" spans="2:23" x14ac:dyDescent="0.35">
      <c r="B12" s="34"/>
      <c r="C12" s="19"/>
      <c r="D12" s="19" t="s">
        <v>19</v>
      </c>
      <c r="E12" s="19"/>
      <c r="F12" s="19"/>
      <c r="G12" s="19"/>
      <c r="H12" s="19">
        <f>'Estimates and Assumptions'!F23</f>
        <v>12</v>
      </c>
      <c r="I12" s="19">
        <f>H12</f>
        <v>12</v>
      </c>
      <c r="J12" s="19">
        <f t="shared" ref="J12:V12" si="3">I12</f>
        <v>12</v>
      </c>
      <c r="K12" s="19">
        <f t="shared" si="3"/>
        <v>12</v>
      </c>
      <c r="L12" s="19">
        <f t="shared" si="3"/>
        <v>12</v>
      </c>
      <c r="M12" s="19">
        <f t="shared" si="3"/>
        <v>12</v>
      </c>
      <c r="N12" s="19">
        <f t="shared" si="3"/>
        <v>12</v>
      </c>
      <c r="O12" s="19">
        <f t="shared" si="3"/>
        <v>12</v>
      </c>
      <c r="P12" s="19">
        <f t="shared" si="3"/>
        <v>12</v>
      </c>
      <c r="Q12" s="19">
        <f t="shared" si="3"/>
        <v>12</v>
      </c>
      <c r="R12" s="19">
        <f t="shared" si="3"/>
        <v>12</v>
      </c>
      <c r="S12" s="19">
        <f t="shared" si="3"/>
        <v>12</v>
      </c>
      <c r="T12" s="19">
        <f t="shared" si="3"/>
        <v>12</v>
      </c>
      <c r="U12" s="19">
        <f t="shared" si="3"/>
        <v>12</v>
      </c>
      <c r="V12" s="19">
        <f t="shared" si="3"/>
        <v>12</v>
      </c>
      <c r="W12" s="35"/>
    </row>
    <row r="13" spans="2:23" x14ac:dyDescent="0.35">
      <c r="B13" s="34"/>
      <c r="C13" s="19"/>
      <c r="D13" s="19" t="s">
        <v>20</v>
      </c>
      <c r="E13" s="19"/>
      <c r="F13" s="19"/>
      <c r="G13" s="19"/>
      <c r="H13" s="81">
        <f>'Estimates and Assumptions'!H23</f>
        <v>0.9</v>
      </c>
      <c r="I13" s="82">
        <f>H13</f>
        <v>0.9</v>
      </c>
      <c r="J13" s="82">
        <f t="shared" ref="J13:V13" si="4">I13</f>
        <v>0.9</v>
      </c>
      <c r="K13" s="82">
        <f t="shared" si="4"/>
        <v>0.9</v>
      </c>
      <c r="L13" s="82">
        <f t="shared" si="4"/>
        <v>0.9</v>
      </c>
      <c r="M13" s="82">
        <f t="shared" si="4"/>
        <v>0.9</v>
      </c>
      <c r="N13" s="82">
        <f t="shared" si="4"/>
        <v>0.9</v>
      </c>
      <c r="O13" s="82">
        <f t="shared" si="4"/>
        <v>0.9</v>
      </c>
      <c r="P13" s="82">
        <f t="shared" si="4"/>
        <v>0.9</v>
      </c>
      <c r="Q13" s="82">
        <f t="shared" si="4"/>
        <v>0.9</v>
      </c>
      <c r="R13" s="82">
        <f t="shared" si="4"/>
        <v>0.9</v>
      </c>
      <c r="S13" s="82">
        <f t="shared" si="4"/>
        <v>0.9</v>
      </c>
      <c r="T13" s="82">
        <f t="shared" si="4"/>
        <v>0.9</v>
      </c>
      <c r="U13" s="82">
        <f t="shared" si="4"/>
        <v>0.9</v>
      </c>
      <c r="V13" s="82">
        <f t="shared" si="4"/>
        <v>0.9</v>
      </c>
      <c r="W13" s="35"/>
    </row>
    <row r="14" spans="2:23" x14ac:dyDescent="0.35">
      <c r="B14" s="34"/>
      <c r="C14" s="19"/>
      <c r="D14" s="19"/>
      <c r="E14" s="19"/>
      <c r="F14" s="19"/>
      <c r="G14" s="19"/>
      <c r="H14" s="19"/>
      <c r="I14" s="19"/>
      <c r="J14" s="19"/>
      <c r="K14" s="19"/>
      <c r="L14" s="19"/>
      <c r="M14" s="19"/>
      <c r="N14" s="19"/>
      <c r="O14" s="19"/>
      <c r="P14" s="19"/>
      <c r="Q14" s="19"/>
      <c r="R14" s="19"/>
      <c r="S14" s="19"/>
      <c r="T14" s="19"/>
      <c r="U14" s="19"/>
      <c r="V14" s="19"/>
      <c r="W14" s="35"/>
    </row>
    <row r="15" spans="2:23" x14ac:dyDescent="0.35">
      <c r="B15" s="34"/>
      <c r="C15" s="19"/>
      <c r="D15" s="19" t="s">
        <v>21</v>
      </c>
      <c r="E15" s="19"/>
      <c r="F15" s="19"/>
      <c r="G15" s="19"/>
      <c r="H15" s="19">
        <f>H9*H12*H13</f>
        <v>14850</v>
      </c>
      <c r="I15" s="19">
        <f t="shared" ref="I15:V15" si="5">I9*I12*I13</f>
        <v>14850</v>
      </c>
      <c r="J15" s="19">
        <f t="shared" si="5"/>
        <v>14850</v>
      </c>
      <c r="K15" s="19">
        <f t="shared" si="5"/>
        <v>14850</v>
      </c>
      <c r="L15" s="19">
        <f t="shared" si="5"/>
        <v>14850</v>
      </c>
      <c r="M15" s="19">
        <f t="shared" si="5"/>
        <v>14850</v>
      </c>
      <c r="N15" s="19">
        <f t="shared" si="5"/>
        <v>14850</v>
      </c>
      <c r="O15" s="19">
        <f t="shared" si="5"/>
        <v>4050</v>
      </c>
      <c r="P15" s="19">
        <f t="shared" si="5"/>
        <v>0</v>
      </c>
      <c r="Q15" s="19">
        <f t="shared" si="5"/>
        <v>0</v>
      </c>
      <c r="R15" s="19">
        <f t="shared" si="5"/>
        <v>0</v>
      </c>
      <c r="S15" s="19">
        <f t="shared" si="5"/>
        <v>0</v>
      </c>
      <c r="T15" s="19">
        <f t="shared" si="5"/>
        <v>0</v>
      </c>
      <c r="U15" s="19">
        <f t="shared" si="5"/>
        <v>0</v>
      </c>
      <c r="V15" s="19">
        <f t="shared" si="5"/>
        <v>0</v>
      </c>
      <c r="W15" s="35"/>
    </row>
    <row r="16" spans="2:23" x14ac:dyDescent="0.35">
      <c r="B16" s="34"/>
      <c r="C16" s="19"/>
      <c r="D16" s="19" t="s">
        <v>22</v>
      </c>
      <c r="E16" s="19"/>
      <c r="F16" s="19"/>
      <c r="G16" s="19"/>
      <c r="H16" s="83">
        <f>H15/31.1</f>
        <v>477.49196141479098</v>
      </c>
      <c r="I16" s="83">
        <f t="shared" ref="I16:V16" si="6">I15/31.1</f>
        <v>477.49196141479098</v>
      </c>
      <c r="J16" s="83">
        <f t="shared" si="6"/>
        <v>477.49196141479098</v>
      </c>
      <c r="K16" s="83">
        <f t="shared" si="6"/>
        <v>477.49196141479098</v>
      </c>
      <c r="L16" s="83">
        <f t="shared" si="6"/>
        <v>477.49196141479098</v>
      </c>
      <c r="M16" s="83">
        <f t="shared" si="6"/>
        <v>477.49196141479098</v>
      </c>
      <c r="N16" s="83">
        <f t="shared" si="6"/>
        <v>477.49196141479098</v>
      </c>
      <c r="O16" s="83">
        <f t="shared" si="6"/>
        <v>130.2250803858521</v>
      </c>
      <c r="P16" s="83">
        <f t="shared" si="6"/>
        <v>0</v>
      </c>
      <c r="Q16" s="83">
        <f t="shared" si="6"/>
        <v>0</v>
      </c>
      <c r="R16" s="83">
        <f t="shared" si="6"/>
        <v>0</v>
      </c>
      <c r="S16" s="83">
        <f t="shared" si="6"/>
        <v>0</v>
      </c>
      <c r="T16" s="83">
        <f t="shared" si="6"/>
        <v>0</v>
      </c>
      <c r="U16" s="83">
        <f t="shared" si="6"/>
        <v>0</v>
      </c>
      <c r="V16" s="83">
        <f t="shared" si="6"/>
        <v>0</v>
      </c>
      <c r="W16" s="35"/>
    </row>
    <row r="17" spans="2:23" x14ac:dyDescent="0.35">
      <c r="B17" s="34"/>
      <c r="C17" s="19"/>
      <c r="D17" s="19"/>
      <c r="E17" s="19"/>
      <c r="F17" s="19"/>
      <c r="G17" s="19"/>
      <c r="H17" s="19"/>
      <c r="I17" s="19"/>
      <c r="J17" s="19"/>
      <c r="K17" s="19"/>
      <c r="L17" s="19"/>
      <c r="M17" s="19"/>
      <c r="N17" s="19"/>
      <c r="O17" s="19"/>
      <c r="P17" s="19"/>
      <c r="Q17" s="19"/>
      <c r="R17" s="19"/>
      <c r="S17" s="19"/>
      <c r="T17" s="19"/>
      <c r="U17" s="19"/>
      <c r="V17" s="19"/>
      <c r="W17" s="35"/>
    </row>
    <row r="18" spans="2:23" x14ac:dyDescent="0.35">
      <c r="B18" s="34"/>
      <c r="C18" s="19" t="s">
        <v>23</v>
      </c>
      <c r="D18" s="19"/>
      <c r="E18" s="19"/>
      <c r="F18" s="19"/>
      <c r="G18" s="19"/>
      <c r="H18" s="19"/>
      <c r="I18" s="19"/>
      <c r="J18" s="19"/>
      <c r="K18" s="19"/>
      <c r="L18" s="19"/>
      <c r="M18" s="19"/>
      <c r="N18" s="19"/>
      <c r="O18" s="19"/>
      <c r="P18" s="19"/>
      <c r="Q18" s="19"/>
      <c r="R18" s="19"/>
      <c r="S18" s="19"/>
      <c r="T18" s="19"/>
      <c r="U18" s="19"/>
      <c r="V18" s="19"/>
      <c r="W18" s="35"/>
    </row>
    <row r="19" spans="2:23" x14ac:dyDescent="0.35">
      <c r="B19" s="34"/>
      <c r="C19" s="19"/>
      <c r="D19" s="19" t="s">
        <v>10</v>
      </c>
      <c r="E19" s="19"/>
      <c r="F19" s="19"/>
      <c r="G19" s="19"/>
      <c r="H19" s="19">
        <f>'Estimates and Assumptions'!E24</f>
        <v>15000</v>
      </c>
      <c r="I19" s="19">
        <f>H21</f>
        <v>13750</v>
      </c>
      <c r="J19" s="19">
        <f t="shared" ref="J19:V19" si="7">I21</f>
        <v>12500</v>
      </c>
      <c r="K19" s="19">
        <f t="shared" si="7"/>
        <v>11250</v>
      </c>
      <c r="L19" s="19">
        <f t="shared" si="7"/>
        <v>10000</v>
      </c>
      <c r="M19" s="19">
        <f t="shared" si="7"/>
        <v>8750</v>
      </c>
      <c r="N19" s="19">
        <f t="shared" si="7"/>
        <v>7500</v>
      </c>
      <c r="O19" s="19">
        <f t="shared" si="7"/>
        <v>6250</v>
      </c>
      <c r="P19" s="19">
        <f t="shared" si="7"/>
        <v>5000</v>
      </c>
      <c r="Q19" s="19">
        <f t="shared" si="7"/>
        <v>3750</v>
      </c>
      <c r="R19" s="19">
        <f t="shared" si="7"/>
        <v>2500</v>
      </c>
      <c r="S19" s="19">
        <f t="shared" si="7"/>
        <v>1250</v>
      </c>
      <c r="T19" s="19">
        <f t="shared" si="7"/>
        <v>0</v>
      </c>
      <c r="U19" s="19">
        <f t="shared" si="7"/>
        <v>0</v>
      </c>
      <c r="V19" s="19">
        <f t="shared" si="7"/>
        <v>0</v>
      </c>
      <c r="W19" s="35"/>
    </row>
    <row r="20" spans="2:23" x14ac:dyDescent="0.35">
      <c r="B20" s="34"/>
      <c r="C20" s="19"/>
      <c r="D20" s="19" t="s">
        <v>11</v>
      </c>
      <c r="E20" s="19"/>
      <c r="F20" s="19"/>
      <c r="G20" s="17">
        <f>'Estimates and Assumptions'!L24</f>
        <v>1250</v>
      </c>
      <c r="H20" s="19">
        <f>IF(OR(H19=G20,H19&gt;G20),G20,H19)</f>
        <v>1250</v>
      </c>
      <c r="I20" s="19">
        <f>IF(OR(I19=H20,I19&gt;H20),H20,I19)</f>
        <v>1250</v>
      </c>
      <c r="J20" s="19">
        <f t="shared" ref="J20:V20" si="8">IF(OR(J19=I20,J19&gt;I20),I20,J19)</f>
        <v>1250</v>
      </c>
      <c r="K20" s="19">
        <f t="shared" si="8"/>
        <v>1250</v>
      </c>
      <c r="L20" s="19">
        <f t="shared" si="8"/>
        <v>1250</v>
      </c>
      <c r="M20" s="19">
        <f t="shared" si="8"/>
        <v>1250</v>
      </c>
      <c r="N20" s="19">
        <f t="shared" si="8"/>
        <v>1250</v>
      </c>
      <c r="O20" s="19">
        <f t="shared" si="8"/>
        <v>1250</v>
      </c>
      <c r="P20" s="19">
        <f t="shared" si="8"/>
        <v>1250</v>
      </c>
      <c r="Q20" s="19">
        <f t="shared" si="8"/>
        <v>1250</v>
      </c>
      <c r="R20" s="19">
        <f t="shared" si="8"/>
        <v>1250</v>
      </c>
      <c r="S20" s="19">
        <f t="shared" si="8"/>
        <v>1250</v>
      </c>
      <c r="T20" s="19">
        <f t="shared" si="8"/>
        <v>0</v>
      </c>
      <c r="U20" s="19">
        <f t="shared" si="8"/>
        <v>0</v>
      </c>
      <c r="V20" s="19">
        <f t="shared" si="8"/>
        <v>0</v>
      </c>
      <c r="W20" s="35"/>
    </row>
    <row r="21" spans="2:23" x14ac:dyDescent="0.35">
      <c r="B21" s="34"/>
      <c r="C21" s="19"/>
      <c r="D21" s="19" t="s">
        <v>12</v>
      </c>
      <c r="E21" s="19"/>
      <c r="F21" s="19"/>
      <c r="G21" s="19"/>
      <c r="H21" s="19">
        <f>H19-H20</f>
        <v>13750</v>
      </c>
      <c r="I21" s="19">
        <f>I19-I20</f>
        <v>12500</v>
      </c>
      <c r="J21" s="19">
        <f t="shared" ref="J21:V21" si="9">J19-J20</f>
        <v>11250</v>
      </c>
      <c r="K21" s="19">
        <f t="shared" si="9"/>
        <v>10000</v>
      </c>
      <c r="L21" s="19">
        <f t="shared" si="9"/>
        <v>8750</v>
      </c>
      <c r="M21" s="19">
        <f t="shared" si="9"/>
        <v>7500</v>
      </c>
      <c r="N21" s="19">
        <f t="shared" si="9"/>
        <v>6250</v>
      </c>
      <c r="O21" s="19">
        <f t="shared" si="9"/>
        <v>5000</v>
      </c>
      <c r="P21" s="19">
        <f t="shared" si="9"/>
        <v>3750</v>
      </c>
      <c r="Q21" s="19">
        <f t="shared" si="9"/>
        <v>2500</v>
      </c>
      <c r="R21" s="19">
        <f t="shared" si="9"/>
        <v>1250</v>
      </c>
      <c r="S21" s="19">
        <f t="shared" si="9"/>
        <v>0</v>
      </c>
      <c r="T21" s="19">
        <f t="shared" si="9"/>
        <v>0</v>
      </c>
      <c r="U21" s="19">
        <f t="shared" si="9"/>
        <v>0</v>
      </c>
      <c r="V21" s="19">
        <f t="shared" si="9"/>
        <v>0</v>
      </c>
      <c r="W21" s="35"/>
    </row>
    <row r="22" spans="2:23" x14ac:dyDescent="0.35">
      <c r="B22" s="34"/>
      <c r="C22" s="19"/>
      <c r="D22" s="19"/>
      <c r="E22" s="19"/>
      <c r="F22" s="19"/>
      <c r="G22" s="19"/>
      <c r="H22" s="19"/>
      <c r="I22" s="19"/>
      <c r="J22" s="19"/>
      <c r="K22" s="19"/>
      <c r="L22" s="19"/>
      <c r="M22" s="19"/>
      <c r="N22" s="19"/>
      <c r="O22" s="19"/>
      <c r="P22" s="19"/>
      <c r="Q22" s="19"/>
      <c r="R22" s="19"/>
      <c r="S22" s="19"/>
      <c r="T22" s="19"/>
      <c r="U22" s="19"/>
      <c r="V22" s="19"/>
      <c r="W22" s="35"/>
    </row>
    <row r="23" spans="2:23" x14ac:dyDescent="0.35">
      <c r="B23" s="34"/>
      <c r="C23" s="19"/>
      <c r="D23" s="19" t="s">
        <v>19</v>
      </c>
      <c r="E23" s="19"/>
      <c r="F23" s="19"/>
      <c r="G23" s="19"/>
      <c r="H23" s="19">
        <f>'Estimates and Assumptions'!F24</f>
        <v>15</v>
      </c>
      <c r="I23" s="19">
        <f>H23</f>
        <v>15</v>
      </c>
      <c r="J23" s="19">
        <f t="shared" ref="J23:V23" si="10">I23</f>
        <v>15</v>
      </c>
      <c r="K23" s="19">
        <f t="shared" si="10"/>
        <v>15</v>
      </c>
      <c r="L23" s="19">
        <f t="shared" si="10"/>
        <v>15</v>
      </c>
      <c r="M23" s="19">
        <f t="shared" si="10"/>
        <v>15</v>
      </c>
      <c r="N23" s="19">
        <f t="shared" si="10"/>
        <v>15</v>
      </c>
      <c r="O23" s="19">
        <f t="shared" si="10"/>
        <v>15</v>
      </c>
      <c r="P23" s="19">
        <f t="shared" si="10"/>
        <v>15</v>
      </c>
      <c r="Q23" s="19">
        <f t="shared" si="10"/>
        <v>15</v>
      </c>
      <c r="R23" s="19">
        <f t="shared" si="10"/>
        <v>15</v>
      </c>
      <c r="S23" s="19">
        <f t="shared" si="10"/>
        <v>15</v>
      </c>
      <c r="T23" s="19">
        <f t="shared" si="10"/>
        <v>15</v>
      </c>
      <c r="U23" s="19">
        <f t="shared" si="10"/>
        <v>15</v>
      </c>
      <c r="V23" s="19">
        <f t="shared" si="10"/>
        <v>15</v>
      </c>
      <c r="W23" s="35"/>
    </row>
    <row r="24" spans="2:23" x14ac:dyDescent="0.35">
      <c r="B24" s="34"/>
      <c r="C24" s="19"/>
      <c r="D24" s="19" t="s">
        <v>20</v>
      </c>
      <c r="E24" s="19"/>
      <c r="F24" s="19"/>
      <c r="G24" s="19"/>
      <c r="H24" s="81">
        <f>'Estimates and Assumptions'!H24</f>
        <v>0.9</v>
      </c>
      <c r="I24" s="82">
        <f>H24</f>
        <v>0.9</v>
      </c>
      <c r="J24" s="82">
        <f t="shared" ref="J24:V24" si="11">I24</f>
        <v>0.9</v>
      </c>
      <c r="K24" s="82">
        <f t="shared" si="11"/>
        <v>0.9</v>
      </c>
      <c r="L24" s="82">
        <f t="shared" si="11"/>
        <v>0.9</v>
      </c>
      <c r="M24" s="82">
        <f t="shared" si="11"/>
        <v>0.9</v>
      </c>
      <c r="N24" s="82">
        <f t="shared" si="11"/>
        <v>0.9</v>
      </c>
      <c r="O24" s="82">
        <f t="shared" si="11"/>
        <v>0.9</v>
      </c>
      <c r="P24" s="82">
        <f t="shared" si="11"/>
        <v>0.9</v>
      </c>
      <c r="Q24" s="82">
        <f t="shared" si="11"/>
        <v>0.9</v>
      </c>
      <c r="R24" s="82">
        <f t="shared" si="11"/>
        <v>0.9</v>
      </c>
      <c r="S24" s="82">
        <f t="shared" si="11"/>
        <v>0.9</v>
      </c>
      <c r="T24" s="82">
        <f t="shared" si="11"/>
        <v>0.9</v>
      </c>
      <c r="U24" s="82">
        <f t="shared" si="11"/>
        <v>0.9</v>
      </c>
      <c r="V24" s="82">
        <f t="shared" si="11"/>
        <v>0.9</v>
      </c>
      <c r="W24" s="35"/>
    </row>
    <row r="25" spans="2:23" x14ac:dyDescent="0.35">
      <c r="B25" s="34"/>
      <c r="C25" s="19"/>
      <c r="D25" s="19"/>
      <c r="E25" s="19"/>
      <c r="F25" s="19"/>
      <c r="G25" s="19"/>
      <c r="H25" s="19"/>
      <c r="I25" s="19"/>
      <c r="J25" s="19"/>
      <c r="K25" s="19"/>
      <c r="L25" s="19"/>
      <c r="M25" s="19"/>
      <c r="N25" s="19"/>
      <c r="O25" s="19"/>
      <c r="P25" s="19"/>
      <c r="Q25" s="19"/>
      <c r="R25" s="19"/>
      <c r="S25" s="19"/>
      <c r="T25" s="19"/>
      <c r="U25" s="19"/>
      <c r="V25" s="19"/>
      <c r="W25" s="35"/>
    </row>
    <row r="26" spans="2:23" x14ac:dyDescent="0.35">
      <c r="B26" s="34"/>
      <c r="C26" s="19"/>
      <c r="D26" s="19" t="s">
        <v>21</v>
      </c>
      <c r="E26" s="19"/>
      <c r="F26" s="19"/>
      <c r="G26" s="19"/>
      <c r="H26" s="19">
        <f>H20*H23*H24</f>
        <v>16875</v>
      </c>
      <c r="I26" s="19">
        <f t="shared" ref="I26:V26" si="12">I20*I23*I24</f>
        <v>16875</v>
      </c>
      <c r="J26" s="19">
        <f t="shared" si="12"/>
        <v>16875</v>
      </c>
      <c r="K26" s="19">
        <f t="shared" si="12"/>
        <v>16875</v>
      </c>
      <c r="L26" s="19">
        <f t="shared" si="12"/>
        <v>16875</v>
      </c>
      <c r="M26" s="19">
        <f t="shared" si="12"/>
        <v>16875</v>
      </c>
      <c r="N26" s="19">
        <f t="shared" si="12"/>
        <v>16875</v>
      </c>
      <c r="O26" s="19">
        <f t="shared" si="12"/>
        <v>16875</v>
      </c>
      <c r="P26" s="19">
        <f t="shared" si="12"/>
        <v>16875</v>
      </c>
      <c r="Q26" s="19">
        <f t="shared" si="12"/>
        <v>16875</v>
      </c>
      <c r="R26" s="19">
        <f t="shared" si="12"/>
        <v>16875</v>
      </c>
      <c r="S26" s="19">
        <f t="shared" si="12"/>
        <v>16875</v>
      </c>
      <c r="T26" s="19">
        <f t="shared" si="12"/>
        <v>0</v>
      </c>
      <c r="U26" s="19">
        <f t="shared" si="12"/>
        <v>0</v>
      </c>
      <c r="V26" s="19">
        <f t="shared" si="12"/>
        <v>0</v>
      </c>
      <c r="W26" s="35"/>
    </row>
    <row r="27" spans="2:23" x14ac:dyDescent="0.35">
      <c r="B27" s="34"/>
      <c r="C27" s="19"/>
      <c r="D27" s="19" t="s">
        <v>22</v>
      </c>
      <c r="E27" s="19"/>
      <c r="F27" s="19"/>
      <c r="G27" s="19"/>
      <c r="H27" s="83">
        <f>H26/31.1</f>
        <v>542.604501607717</v>
      </c>
      <c r="I27" s="83">
        <f t="shared" ref="I27" si="13">I26/31.1</f>
        <v>542.604501607717</v>
      </c>
      <c r="J27" s="83">
        <f t="shared" ref="J27" si="14">J26/31.1</f>
        <v>542.604501607717</v>
      </c>
      <c r="K27" s="83">
        <f t="shared" ref="K27" si="15">K26/31.1</f>
        <v>542.604501607717</v>
      </c>
      <c r="L27" s="83">
        <f t="shared" ref="L27" si="16">L26/31.1</f>
        <v>542.604501607717</v>
      </c>
      <c r="M27" s="83">
        <f t="shared" ref="M27" si="17">M26/31.1</f>
        <v>542.604501607717</v>
      </c>
      <c r="N27" s="83">
        <f t="shared" ref="N27" si="18">N26/31.1</f>
        <v>542.604501607717</v>
      </c>
      <c r="O27" s="83">
        <f t="shared" ref="O27" si="19">O26/31.1</f>
        <v>542.604501607717</v>
      </c>
      <c r="P27" s="83">
        <f t="shared" ref="P27" si="20">P26/31.1</f>
        <v>542.604501607717</v>
      </c>
      <c r="Q27" s="83">
        <f t="shared" ref="Q27" si="21">Q26/31.1</f>
        <v>542.604501607717</v>
      </c>
      <c r="R27" s="83">
        <f t="shared" ref="R27" si="22">R26/31.1</f>
        <v>542.604501607717</v>
      </c>
      <c r="S27" s="83">
        <f t="shared" ref="S27" si="23">S26/31.1</f>
        <v>542.604501607717</v>
      </c>
      <c r="T27" s="83">
        <f t="shared" ref="T27" si="24">T26/31.1</f>
        <v>0</v>
      </c>
      <c r="U27" s="83">
        <f t="shared" ref="U27" si="25">U26/31.1</f>
        <v>0</v>
      </c>
      <c r="V27" s="83">
        <f t="shared" ref="V27" si="26">V26/31.1</f>
        <v>0</v>
      </c>
      <c r="W27" s="35"/>
    </row>
    <row r="28" spans="2:23" x14ac:dyDescent="0.35">
      <c r="B28" s="34"/>
      <c r="C28" s="19"/>
      <c r="D28" s="19"/>
      <c r="E28" s="19"/>
      <c r="F28" s="19"/>
      <c r="G28" s="19"/>
      <c r="H28" s="19"/>
      <c r="I28" s="19"/>
      <c r="J28" s="19"/>
      <c r="K28" s="19"/>
      <c r="L28" s="19"/>
      <c r="M28" s="19"/>
      <c r="N28" s="19"/>
      <c r="O28" s="19"/>
      <c r="P28" s="19"/>
      <c r="Q28" s="19"/>
      <c r="R28" s="19"/>
      <c r="S28" s="19"/>
      <c r="T28" s="19"/>
      <c r="U28" s="19"/>
      <c r="V28" s="19"/>
      <c r="W28" s="35"/>
    </row>
    <row r="29" spans="2:23" x14ac:dyDescent="0.35">
      <c r="B29" s="34"/>
      <c r="C29" s="19" t="s">
        <v>24</v>
      </c>
      <c r="D29" s="19"/>
      <c r="E29" s="19"/>
      <c r="F29" s="19"/>
      <c r="G29" s="19"/>
      <c r="H29" s="19"/>
      <c r="I29" s="19"/>
      <c r="J29" s="19"/>
      <c r="K29" s="19"/>
      <c r="L29" s="19"/>
      <c r="M29" s="19"/>
      <c r="N29" s="19"/>
      <c r="O29" s="19"/>
      <c r="P29" s="19"/>
      <c r="Q29" s="19"/>
      <c r="R29" s="19"/>
      <c r="S29" s="19"/>
      <c r="T29" s="19"/>
      <c r="U29" s="19"/>
      <c r="V29" s="19"/>
      <c r="W29" s="35"/>
    </row>
    <row r="30" spans="2:23" x14ac:dyDescent="0.35">
      <c r="B30" s="34"/>
      <c r="C30" s="19"/>
      <c r="D30" s="19" t="s">
        <v>10</v>
      </c>
      <c r="E30" s="19"/>
      <c r="F30" s="19"/>
      <c r="G30" s="19"/>
      <c r="H30" s="19">
        <f>'Estimates and Assumptions'!E25</f>
        <v>20000</v>
      </c>
      <c r="I30" s="19">
        <f>H32</f>
        <v>18500</v>
      </c>
      <c r="J30" s="19">
        <f t="shared" ref="J30:V30" si="27">I32</f>
        <v>17000</v>
      </c>
      <c r="K30" s="19">
        <f t="shared" si="27"/>
        <v>15500</v>
      </c>
      <c r="L30" s="19">
        <f t="shared" si="27"/>
        <v>14000</v>
      </c>
      <c r="M30" s="19">
        <f t="shared" si="27"/>
        <v>12500</v>
      </c>
      <c r="N30" s="19">
        <f t="shared" si="27"/>
        <v>11000</v>
      </c>
      <c r="O30" s="19">
        <f t="shared" si="27"/>
        <v>9500</v>
      </c>
      <c r="P30" s="19">
        <f t="shared" si="27"/>
        <v>8000</v>
      </c>
      <c r="Q30" s="19">
        <f t="shared" si="27"/>
        <v>6500</v>
      </c>
      <c r="R30" s="19">
        <f t="shared" si="27"/>
        <v>5000</v>
      </c>
      <c r="S30" s="19">
        <f t="shared" si="27"/>
        <v>3500</v>
      </c>
      <c r="T30" s="19">
        <f t="shared" si="27"/>
        <v>2000</v>
      </c>
      <c r="U30" s="19">
        <f t="shared" si="27"/>
        <v>500</v>
      </c>
      <c r="V30" s="19">
        <f t="shared" si="27"/>
        <v>0</v>
      </c>
      <c r="W30" s="35"/>
    </row>
    <row r="31" spans="2:23" x14ac:dyDescent="0.35">
      <c r="B31" s="34"/>
      <c r="C31" s="19"/>
      <c r="D31" s="19" t="s">
        <v>11</v>
      </c>
      <c r="E31" s="19"/>
      <c r="F31" s="19"/>
      <c r="G31" s="17">
        <f>'Estimates and Assumptions'!L25</f>
        <v>1500</v>
      </c>
      <c r="H31" s="19">
        <f>IF(OR(H30=G31,H30&gt;G31),G31,H30)</f>
        <v>1500</v>
      </c>
      <c r="I31" s="19">
        <f>IF(OR(I30=H31,I30&gt;H31),H31,I30)</f>
        <v>1500</v>
      </c>
      <c r="J31" s="19">
        <f t="shared" ref="J31:V31" si="28">IF(OR(J30=I31,J30&gt;I31),I31,J30)</f>
        <v>1500</v>
      </c>
      <c r="K31" s="19">
        <f t="shared" si="28"/>
        <v>1500</v>
      </c>
      <c r="L31" s="19">
        <f t="shared" si="28"/>
        <v>1500</v>
      </c>
      <c r="M31" s="19">
        <f t="shared" si="28"/>
        <v>1500</v>
      </c>
      <c r="N31" s="19">
        <f t="shared" si="28"/>
        <v>1500</v>
      </c>
      <c r="O31" s="19">
        <f t="shared" si="28"/>
        <v>1500</v>
      </c>
      <c r="P31" s="19">
        <f t="shared" si="28"/>
        <v>1500</v>
      </c>
      <c r="Q31" s="19">
        <f t="shared" si="28"/>
        <v>1500</v>
      </c>
      <c r="R31" s="19">
        <f t="shared" si="28"/>
        <v>1500</v>
      </c>
      <c r="S31" s="19">
        <f t="shared" si="28"/>
        <v>1500</v>
      </c>
      <c r="T31" s="19">
        <f t="shared" si="28"/>
        <v>1500</v>
      </c>
      <c r="U31" s="19">
        <f t="shared" si="28"/>
        <v>500</v>
      </c>
      <c r="V31" s="19">
        <f t="shared" si="28"/>
        <v>0</v>
      </c>
      <c r="W31" s="35"/>
    </row>
    <row r="32" spans="2:23" x14ac:dyDescent="0.35">
      <c r="B32" s="34"/>
      <c r="C32" s="19"/>
      <c r="D32" s="19" t="s">
        <v>12</v>
      </c>
      <c r="E32" s="19"/>
      <c r="F32" s="19"/>
      <c r="G32" s="19"/>
      <c r="H32" s="19">
        <f>H30-H31</f>
        <v>18500</v>
      </c>
      <c r="I32" s="19">
        <f>I30-I31</f>
        <v>17000</v>
      </c>
      <c r="J32" s="19">
        <f t="shared" ref="J32:V32" si="29">J30-J31</f>
        <v>15500</v>
      </c>
      <c r="K32" s="19">
        <f t="shared" si="29"/>
        <v>14000</v>
      </c>
      <c r="L32" s="19">
        <f t="shared" si="29"/>
        <v>12500</v>
      </c>
      <c r="M32" s="19">
        <f t="shared" si="29"/>
        <v>11000</v>
      </c>
      <c r="N32" s="19">
        <f t="shared" si="29"/>
        <v>9500</v>
      </c>
      <c r="O32" s="19">
        <f t="shared" si="29"/>
        <v>8000</v>
      </c>
      <c r="P32" s="19">
        <f t="shared" si="29"/>
        <v>6500</v>
      </c>
      <c r="Q32" s="19">
        <f t="shared" si="29"/>
        <v>5000</v>
      </c>
      <c r="R32" s="19">
        <f t="shared" si="29"/>
        <v>3500</v>
      </c>
      <c r="S32" s="19">
        <f t="shared" si="29"/>
        <v>2000</v>
      </c>
      <c r="T32" s="19">
        <f t="shared" si="29"/>
        <v>500</v>
      </c>
      <c r="U32" s="19">
        <f t="shared" si="29"/>
        <v>0</v>
      </c>
      <c r="V32" s="19">
        <f t="shared" si="29"/>
        <v>0</v>
      </c>
      <c r="W32" s="35"/>
    </row>
    <row r="33" spans="2:23" x14ac:dyDescent="0.35">
      <c r="B33" s="34"/>
      <c r="C33" s="19"/>
      <c r="D33" s="19"/>
      <c r="E33" s="19"/>
      <c r="F33" s="19"/>
      <c r="G33" s="19"/>
      <c r="H33" s="19"/>
      <c r="I33" s="19"/>
      <c r="J33" s="19"/>
      <c r="K33" s="19"/>
      <c r="L33" s="19"/>
      <c r="M33" s="19"/>
      <c r="N33" s="19"/>
      <c r="O33" s="19"/>
      <c r="P33" s="19"/>
      <c r="Q33" s="19"/>
      <c r="R33" s="19"/>
      <c r="S33" s="19"/>
      <c r="T33" s="19"/>
      <c r="U33" s="19"/>
      <c r="V33" s="19"/>
      <c r="W33" s="35"/>
    </row>
    <row r="34" spans="2:23" x14ac:dyDescent="0.35">
      <c r="B34" s="34"/>
      <c r="C34" s="19"/>
      <c r="D34" s="19" t="s">
        <v>19</v>
      </c>
      <c r="E34" s="19"/>
      <c r="F34" s="19"/>
      <c r="G34" s="19"/>
      <c r="H34" s="19">
        <f>'Estimates and Assumptions'!F25</f>
        <v>18</v>
      </c>
      <c r="I34" s="19">
        <f>H34</f>
        <v>18</v>
      </c>
      <c r="J34" s="19">
        <f t="shared" ref="J34:V34" si="30">I34</f>
        <v>18</v>
      </c>
      <c r="K34" s="19">
        <f t="shared" si="30"/>
        <v>18</v>
      </c>
      <c r="L34" s="19">
        <f t="shared" si="30"/>
        <v>18</v>
      </c>
      <c r="M34" s="19">
        <f t="shared" si="30"/>
        <v>18</v>
      </c>
      <c r="N34" s="19">
        <f t="shared" si="30"/>
        <v>18</v>
      </c>
      <c r="O34" s="19">
        <f t="shared" si="30"/>
        <v>18</v>
      </c>
      <c r="P34" s="19">
        <f t="shared" si="30"/>
        <v>18</v>
      </c>
      <c r="Q34" s="19">
        <f t="shared" si="30"/>
        <v>18</v>
      </c>
      <c r="R34" s="19">
        <f t="shared" si="30"/>
        <v>18</v>
      </c>
      <c r="S34" s="19">
        <f t="shared" si="30"/>
        <v>18</v>
      </c>
      <c r="T34" s="19">
        <f t="shared" si="30"/>
        <v>18</v>
      </c>
      <c r="U34" s="19">
        <f t="shared" si="30"/>
        <v>18</v>
      </c>
      <c r="V34" s="19">
        <f t="shared" si="30"/>
        <v>18</v>
      </c>
      <c r="W34" s="35"/>
    </row>
    <row r="35" spans="2:23" x14ac:dyDescent="0.35">
      <c r="B35" s="34"/>
      <c r="C35" s="19"/>
      <c r="D35" s="19" t="s">
        <v>20</v>
      </c>
      <c r="E35" s="19"/>
      <c r="F35" s="19"/>
      <c r="G35" s="19"/>
      <c r="H35" s="81">
        <f>'Estimates and Assumptions'!H25</f>
        <v>0.9</v>
      </c>
      <c r="I35" s="82">
        <f>H35</f>
        <v>0.9</v>
      </c>
      <c r="J35" s="82">
        <f t="shared" ref="J35:V35" si="31">I35</f>
        <v>0.9</v>
      </c>
      <c r="K35" s="82">
        <f t="shared" si="31"/>
        <v>0.9</v>
      </c>
      <c r="L35" s="82">
        <f t="shared" si="31"/>
        <v>0.9</v>
      </c>
      <c r="M35" s="82">
        <f t="shared" si="31"/>
        <v>0.9</v>
      </c>
      <c r="N35" s="82">
        <f t="shared" si="31"/>
        <v>0.9</v>
      </c>
      <c r="O35" s="82">
        <f t="shared" si="31"/>
        <v>0.9</v>
      </c>
      <c r="P35" s="82">
        <f t="shared" si="31"/>
        <v>0.9</v>
      </c>
      <c r="Q35" s="82">
        <f t="shared" si="31"/>
        <v>0.9</v>
      </c>
      <c r="R35" s="82">
        <f t="shared" si="31"/>
        <v>0.9</v>
      </c>
      <c r="S35" s="82">
        <f t="shared" si="31"/>
        <v>0.9</v>
      </c>
      <c r="T35" s="82">
        <f t="shared" si="31"/>
        <v>0.9</v>
      </c>
      <c r="U35" s="82">
        <f t="shared" si="31"/>
        <v>0.9</v>
      </c>
      <c r="V35" s="82">
        <f t="shared" si="31"/>
        <v>0.9</v>
      </c>
      <c r="W35" s="35"/>
    </row>
    <row r="36" spans="2:23" x14ac:dyDescent="0.35">
      <c r="B36" s="34"/>
      <c r="C36" s="19"/>
      <c r="D36" s="19"/>
      <c r="E36" s="19"/>
      <c r="F36" s="19"/>
      <c r="G36" s="19"/>
      <c r="H36" s="19"/>
      <c r="I36" s="19"/>
      <c r="J36" s="19"/>
      <c r="K36" s="19"/>
      <c r="L36" s="19"/>
      <c r="M36" s="19"/>
      <c r="N36" s="19"/>
      <c r="O36" s="19"/>
      <c r="P36" s="19"/>
      <c r="Q36" s="19"/>
      <c r="R36" s="19"/>
      <c r="S36" s="19"/>
      <c r="T36" s="19"/>
      <c r="U36" s="19"/>
      <c r="V36" s="19"/>
      <c r="W36" s="35"/>
    </row>
    <row r="37" spans="2:23" x14ac:dyDescent="0.35">
      <c r="B37" s="34"/>
      <c r="C37" s="19"/>
      <c r="D37" s="19" t="s">
        <v>21</v>
      </c>
      <c r="E37" s="19"/>
      <c r="F37" s="19"/>
      <c r="G37" s="19"/>
      <c r="H37" s="19">
        <f>H31*H34*H35</f>
        <v>24300</v>
      </c>
      <c r="I37" s="19">
        <f t="shared" ref="I37:V37" si="32">I31*I34*I35</f>
        <v>24300</v>
      </c>
      <c r="J37" s="19">
        <f t="shared" si="32"/>
        <v>24300</v>
      </c>
      <c r="K37" s="19">
        <f t="shared" si="32"/>
        <v>24300</v>
      </c>
      <c r="L37" s="19">
        <f t="shared" si="32"/>
        <v>24300</v>
      </c>
      <c r="M37" s="19">
        <f t="shared" si="32"/>
        <v>24300</v>
      </c>
      <c r="N37" s="19">
        <f t="shared" si="32"/>
        <v>24300</v>
      </c>
      <c r="O37" s="19">
        <f t="shared" si="32"/>
        <v>24300</v>
      </c>
      <c r="P37" s="19">
        <f t="shared" si="32"/>
        <v>24300</v>
      </c>
      <c r="Q37" s="19">
        <f t="shared" si="32"/>
        <v>24300</v>
      </c>
      <c r="R37" s="19">
        <f t="shared" si="32"/>
        <v>24300</v>
      </c>
      <c r="S37" s="19">
        <f t="shared" si="32"/>
        <v>24300</v>
      </c>
      <c r="T37" s="19">
        <f t="shared" si="32"/>
        <v>24300</v>
      </c>
      <c r="U37" s="19">
        <f t="shared" si="32"/>
        <v>8100</v>
      </c>
      <c r="V37" s="19">
        <f t="shared" si="32"/>
        <v>0</v>
      </c>
      <c r="W37" s="35"/>
    </row>
    <row r="38" spans="2:23" x14ac:dyDescent="0.35">
      <c r="B38" s="34"/>
      <c r="C38" s="19"/>
      <c r="D38" s="19" t="s">
        <v>22</v>
      </c>
      <c r="E38" s="19"/>
      <c r="F38" s="19"/>
      <c r="G38" s="19"/>
      <c r="H38" s="83">
        <f>H37/31.1</f>
        <v>781.35048231511246</v>
      </c>
      <c r="I38" s="83">
        <f t="shared" ref="I38" si="33">I37/31.1</f>
        <v>781.35048231511246</v>
      </c>
      <c r="J38" s="83">
        <f t="shared" ref="J38" si="34">J37/31.1</f>
        <v>781.35048231511246</v>
      </c>
      <c r="K38" s="83">
        <f t="shared" ref="K38" si="35">K37/31.1</f>
        <v>781.35048231511246</v>
      </c>
      <c r="L38" s="83">
        <f t="shared" ref="L38" si="36">L37/31.1</f>
        <v>781.35048231511246</v>
      </c>
      <c r="M38" s="83">
        <f t="shared" ref="M38" si="37">M37/31.1</f>
        <v>781.35048231511246</v>
      </c>
      <c r="N38" s="83">
        <f t="shared" ref="N38" si="38">N37/31.1</f>
        <v>781.35048231511246</v>
      </c>
      <c r="O38" s="83">
        <f t="shared" ref="O38" si="39">O37/31.1</f>
        <v>781.35048231511246</v>
      </c>
      <c r="P38" s="83">
        <f t="shared" ref="P38" si="40">P37/31.1</f>
        <v>781.35048231511246</v>
      </c>
      <c r="Q38" s="83">
        <f t="shared" ref="Q38" si="41">Q37/31.1</f>
        <v>781.35048231511246</v>
      </c>
      <c r="R38" s="83">
        <f t="shared" ref="R38" si="42">R37/31.1</f>
        <v>781.35048231511246</v>
      </c>
      <c r="S38" s="83">
        <f t="shared" ref="S38" si="43">S37/31.1</f>
        <v>781.35048231511246</v>
      </c>
      <c r="T38" s="83">
        <f t="shared" ref="T38" si="44">T37/31.1</f>
        <v>781.35048231511246</v>
      </c>
      <c r="U38" s="83">
        <f t="shared" ref="U38" si="45">U37/31.1</f>
        <v>260.45016077170419</v>
      </c>
      <c r="V38" s="83">
        <f t="shared" ref="V38" si="46">V37/31.1</f>
        <v>0</v>
      </c>
      <c r="W38" s="35"/>
    </row>
    <row r="39" spans="2:23" x14ac:dyDescent="0.35">
      <c r="B39" s="34"/>
      <c r="C39" s="19"/>
      <c r="D39" s="19"/>
      <c r="E39" s="19"/>
      <c r="F39" s="19"/>
      <c r="G39" s="19"/>
      <c r="H39" s="19"/>
      <c r="I39" s="19"/>
      <c r="J39" s="19"/>
      <c r="K39" s="19"/>
      <c r="L39" s="19"/>
      <c r="M39" s="19"/>
      <c r="N39" s="19"/>
      <c r="O39" s="19"/>
      <c r="P39" s="19"/>
      <c r="Q39" s="19"/>
      <c r="R39" s="19"/>
      <c r="S39" s="19"/>
      <c r="T39" s="19"/>
      <c r="U39" s="19"/>
      <c r="V39" s="19"/>
      <c r="W39" s="35"/>
    </row>
    <row r="40" spans="2:23" x14ac:dyDescent="0.35">
      <c r="B40" s="34"/>
      <c r="C40" s="19" t="s">
        <v>26</v>
      </c>
      <c r="D40" s="19"/>
      <c r="E40" s="19"/>
      <c r="F40" s="19"/>
      <c r="G40" s="19"/>
      <c r="H40" s="19"/>
      <c r="I40" s="19"/>
      <c r="J40" s="19"/>
      <c r="K40" s="19"/>
      <c r="L40" s="19"/>
      <c r="M40" s="19"/>
      <c r="N40" s="19"/>
      <c r="O40" s="19"/>
      <c r="P40" s="19"/>
      <c r="Q40" s="19"/>
      <c r="R40" s="19"/>
      <c r="S40" s="19"/>
      <c r="T40" s="19"/>
      <c r="U40" s="19"/>
      <c r="V40" s="19"/>
      <c r="W40" s="35"/>
    </row>
    <row r="41" spans="2:23" x14ac:dyDescent="0.35">
      <c r="B41" s="34"/>
      <c r="C41" s="19"/>
      <c r="D41" s="19"/>
      <c r="E41" s="19"/>
      <c r="F41" s="19"/>
      <c r="G41" s="19"/>
      <c r="H41" s="19"/>
      <c r="I41" s="19"/>
      <c r="J41" s="19"/>
      <c r="K41" s="19"/>
      <c r="L41" s="19"/>
      <c r="M41" s="19"/>
      <c r="N41" s="19"/>
      <c r="O41" s="19"/>
      <c r="P41" s="19"/>
      <c r="Q41" s="19"/>
      <c r="R41" s="19"/>
      <c r="S41" s="19"/>
      <c r="T41" s="19"/>
      <c r="U41" s="19"/>
      <c r="V41" s="19"/>
      <c r="W41" s="35"/>
    </row>
    <row r="42" spans="2:23" x14ac:dyDescent="0.35">
      <c r="B42" s="34"/>
      <c r="C42" s="19"/>
      <c r="D42" s="19" t="s">
        <v>14</v>
      </c>
      <c r="E42" s="19"/>
      <c r="F42" s="19"/>
      <c r="G42" s="19"/>
      <c r="H42" s="83">
        <f>H16</f>
        <v>477.49196141479098</v>
      </c>
      <c r="I42" s="83">
        <f t="shared" ref="I42:V42" si="47">I16</f>
        <v>477.49196141479098</v>
      </c>
      <c r="J42" s="83">
        <f t="shared" si="47"/>
        <v>477.49196141479098</v>
      </c>
      <c r="K42" s="83">
        <f t="shared" si="47"/>
        <v>477.49196141479098</v>
      </c>
      <c r="L42" s="83">
        <f t="shared" si="47"/>
        <v>477.49196141479098</v>
      </c>
      <c r="M42" s="83">
        <f t="shared" si="47"/>
        <v>477.49196141479098</v>
      </c>
      <c r="N42" s="83">
        <f t="shared" si="47"/>
        <v>477.49196141479098</v>
      </c>
      <c r="O42" s="83">
        <f t="shared" si="47"/>
        <v>130.2250803858521</v>
      </c>
      <c r="P42" s="83">
        <f t="shared" si="47"/>
        <v>0</v>
      </c>
      <c r="Q42" s="83">
        <f t="shared" si="47"/>
        <v>0</v>
      </c>
      <c r="R42" s="83">
        <f t="shared" si="47"/>
        <v>0</v>
      </c>
      <c r="S42" s="83">
        <f t="shared" si="47"/>
        <v>0</v>
      </c>
      <c r="T42" s="83">
        <f t="shared" si="47"/>
        <v>0</v>
      </c>
      <c r="U42" s="83">
        <f t="shared" si="47"/>
        <v>0</v>
      </c>
      <c r="V42" s="83">
        <f t="shared" si="47"/>
        <v>0</v>
      </c>
      <c r="W42" s="35"/>
    </row>
    <row r="43" spans="2:23" x14ac:dyDescent="0.35">
      <c r="B43" s="34"/>
      <c r="C43" s="19"/>
      <c r="D43" s="19" t="s">
        <v>23</v>
      </c>
      <c r="E43" s="19"/>
      <c r="F43" s="19"/>
      <c r="G43" s="19"/>
      <c r="H43" s="83">
        <f>H27</f>
        <v>542.604501607717</v>
      </c>
      <c r="I43" s="83">
        <f t="shared" ref="I43:V43" si="48">I27</f>
        <v>542.604501607717</v>
      </c>
      <c r="J43" s="83">
        <f t="shared" si="48"/>
        <v>542.604501607717</v>
      </c>
      <c r="K43" s="83">
        <f t="shared" si="48"/>
        <v>542.604501607717</v>
      </c>
      <c r="L43" s="83">
        <f t="shared" si="48"/>
        <v>542.604501607717</v>
      </c>
      <c r="M43" s="83">
        <f t="shared" si="48"/>
        <v>542.604501607717</v>
      </c>
      <c r="N43" s="83">
        <f t="shared" si="48"/>
        <v>542.604501607717</v>
      </c>
      <c r="O43" s="83">
        <f t="shared" si="48"/>
        <v>542.604501607717</v>
      </c>
      <c r="P43" s="83">
        <f t="shared" si="48"/>
        <v>542.604501607717</v>
      </c>
      <c r="Q43" s="83">
        <f t="shared" si="48"/>
        <v>542.604501607717</v>
      </c>
      <c r="R43" s="83">
        <f t="shared" si="48"/>
        <v>542.604501607717</v>
      </c>
      <c r="S43" s="83">
        <f t="shared" si="48"/>
        <v>542.604501607717</v>
      </c>
      <c r="T43" s="83">
        <f t="shared" si="48"/>
        <v>0</v>
      </c>
      <c r="U43" s="83">
        <f t="shared" si="48"/>
        <v>0</v>
      </c>
      <c r="V43" s="83">
        <f t="shared" si="48"/>
        <v>0</v>
      </c>
      <c r="W43" s="35"/>
    </row>
    <row r="44" spans="2:23" x14ac:dyDescent="0.35">
      <c r="B44" s="34"/>
      <c r="C44" s="19"/>
      <c r="D44" s="19" t="s">
        <v>24</v>
      </c>
      <c r="E44" s="19"/>
      <c r="F44" s="19"/>
      <c r="G44" s="19"/>
      <c r="H44" s="83">
        <f>H38</f>
        <v>781.35048231511246</v>
      </c>
      <c r="I44" s="83">
        <f t="shared" ref="I44:V44" si="49">I38</f>
        <v>781.35048231511246</v>
      </c>
      <c r="J44" s="83">
        <f t="shared" si="49"/>
        <v>781.35048231511246</v>
      </c>
      <c r="K44" s="83">
        <f t="shared" si="49"/>
        <v>781.35048231511246</v>
      </c>
      <c r="L44" s="83">
        <f t="shared" si="49"/>
        <v>781.35048231511246</v>
      </c>
      <c r="M44" s="83">
        <f t="shared" si="49"/>
        <v>781.35048231511246</v>
      </c>
      <c r="N44" s="83">
        <f t="shared" si="49"/>
        <v>781.35048231511246</v>
      </c>
      <c r="O44" s="83">
        <f t="shared" si="49"/>
        <v>781.35048231511246</v>
      </c>
      <c r="P44" s="83">
        <f t="shared" si="49"/>
        <v>781.35048231511246</v>
      </c>
      <c r="Q44" s="83">
        <f t="shared" si="49"/>
        <v>781.35048231511246</v>
      </c>
      <c r="R44" s="83">
        <f t="shared" si="49"/>
        <v>781.35048231511246</v>
      </c>
      <c r="S44" s="83">
        <f t="shared" si="49"/>
        <v>781.35048231511246</v>
      </c>
      <c r="T44" s="83">
        <f t="shared" si="49"/>
        <v>781.35048231511246</v>
      </c>
      <c r="U44" s="83">
        <f t="shared" si="49"/>
        <v>260.45016077170419</v>
      </c>
      <c r="V44" s="83">
        <f t="shared" si="49"/>
        <v>0</v>
      </c>
      <c r="W44" s="35"/>
    </row>
    <row r="45" spans="2:23" x14ac:dyDescent="0.35">
      <c r="B45" s="34"/>
      <c r="C45" s="19"/>
      <c r="D45" s="19"/>
      <c r="E45" s="19"/>
      <c r="F45" s="19"/>
      <c r="G45" s="19"/>
      <c r="H45" s="83"/>
      <c r="I45" s="83"/>
      <c r="J45" s="83"/>
      <c r="K45" s="83"/>
      <c r="L45" s="83"/>
      <c r="M45" s="83"/>
      <c r="N45" s="83"/>
      <c r="O45" s="83"/>
      <c r="P45" s="83"/>
      <c r="Q45" s="83"/>
      <c r="R45" s="83"/>
      <c r="S45" s="83"/>
      <c r="T45" s="83"/>
      <c r="U45" s="83"/>
      <c r="V45" s="83"/>
      <c r="W45" s="35"/>
    </row>
    <row r="46" spans="2:23" ht="15" thickBot="1" x14ac:dyDescent="0.4">
      <c r="B46" s="34"/>
      <c r="C46" s="153" t="s">
        <v>25</v>
      </c>
      <c r="D46" s="153"/>
      <c r="E46" s="153"/>
      <c r="F46" s="76"/>
      <c r="G46" s="76"/>
      <c r="H46" s="77">
        <f>SUM(H42:H44)</f>
        <v>1801.4469453376205</v>
      </c>
      <c r="I46" s="77">
        <f t="shared" ref="I46:V46" si="50">SUM(I42:I44)</f>
        <v>1801.4469453376205</v>
      </c>
      <c r="J46" s="77">
        <f t="shared" si="50"/>
        <v>1801.4469453376205</v>
      </c>
      <c r="K46" s="77">
        <f t="shared" si="50"/>
        <v>1801.4469453376205</v>
      </c>
      <c r="L46" s="77">
        <f t="shared" si="50"/>
        <v>1801.4469453376205</v>
      </c>
      <c r="M46" s="77">
        <f t="shared" si="50"/>
        <v>1801.4469453376205</v>
      </c>
      <c r="N46" s="77">
        <f t="shared" si="50"/>
        <v>1801.4469453376205</v>
      </c>
      <c r="O46" s="77">
        <f t="shared" si="50"/>
        <v>1454.1800643086815</v>
      </c>
      <c r="P46" s="77">
        <f t="shared" si="50"/>
        <v>1323.9549839228293</v>
      </c>
      <c r="Q46" s="77">
        <f t="shared" si="50"/>
        <v>1323.9549839228293</v>
      </c>
      <c r="R46" s="77">
        <f t="shared" si="50"/>
        <v>1323.9549839228293</v>
      </c>
      <c r="S46" s="77">
        <f t="shared" si="50"/>
        <v>1323.9549839228293</v>
      </c>
      <c r="T46" s="77">
        <f t="shared" si="50"/>
        <v>781.35048231511246</v>
      </c>
      <c r="U46" s="77">
        <f t="shared" si="50"/>
        <v>260.45016077170419</v>
      </c>
      <c r="V46" s="77">
        <f t="shared" si="50"/>
        <v>0</v>
      </c>
      <c r="W46" s="35"/>
    </row>
    <row r="47" spans="2:23" ht="15" thickTop="1" x14ac:dyDescent="0.35">
      <c r="B47" s="34"/>
      <c r="W47" s="35"/>
    </row>
    <row r="48" spans="2:23" x14ac:dyDescent="0.35">
      <c r="B48" s="34"/>
      <c r="C48" s="4" t="s">
        <v>27</v>
      </c>
      <c r="D48" s="5"/>
      <c r="E48" s="6"/>
      <c r="F48" s="6"/>
      <c r="G48" s="6"/>
      <c r="H48" s="6"/>
      <c r="I48" s="6"/>
      <c r="J48" s="6"/>
      <c r="K48" s="6"/>
      <c r="L48" s="6"/>
      <c r="M48" s="6"/>
      <c r="N48" s="6"/>
      <c r="O48" s="6"/>
      <c r="P48" s="6"/>
      <c r="Q48" s="6"/>
      <c r="R48" s="6"/>
      <c r="S48" s="6"/>
      <c r="T48" s="6"/>
      <c r="U48" s="6"/>
      <c r="V48" s="6"/>
      <c r="W48" s="35"/>
    </row>
    <row r="49" spans="2:23" ht="9.9" customHeight="1" x14ac:dyDescent="0.35">
      <c r="B49" s="34"/>
      <c r="W49" s="35"/>
    </row>
    <row r="50" spans="2:23" x14ac:dyDescent="0.35">
      <c r="B50" s="34"/>
      <c r="C50" s="19" t="s">
        <v>32</v>
      </c>
      <c r="D50" s="19"/>
      <c r="E50" s="19"/>
      <c r="F50" s="19"/>
      <c r="G50" s="19"/>
      <c r="H50" s="19">
        <f>IF(ISNUMBER(HLOOKUP(H3,'Estimates and Assumptions'!$F$12:$Q$17,3,FALSE)),HLOOKUP(H3,'Estimates and Assumptions'!$F$12:$Q$17,3,FALSE),HLOOKUP('Estimates and Assumptions'!$Q$12,'Estimates and Assumptions'!$F$12:$Q$17,3,FALSE))</f>
        <v>1950</v>
      </c>
      <c r="I50" s="19">
        <f>IF(ISNUMBER(HLOOKUP(I3,'Estimates and Assumptions'!$F$12:$Q$17,3,FALSE)),HLOOKUP(I3,'Estimates and Assumptions'!$F$12:$Q$17,3,FALSE),HLOOKUP('Estimates and Assumptions'!$Q$12,'Estimates and Assumptions'!$F$12:$Q$17,3,FALSE))</f>
        <v>2600</v>
      </c>
      <c r="J50" s="19">
        <f>IF(ISNUMBER(HLOOKUP(J3,'Estimates and Assumptions'!$F$12:$Q$17,3,FALSE)),HLOOKUP(J3,'Estimates and Assumptions'!$F$12:$Q$17,3,FALSE),HLOOKUP('Estimates and Assumptions'!$Q$12,'Estimates and Assumptions'!$F$12:$Q$17,3,FALSE))</f>
        <v>2600</v>
      </c>
      <c r="K50" s="19">
        <f>IF(ISNUMBER(HLOOKUP(K3,'Estimates and Assumptions'!$F$12:$Q$17,3,FALSE)),HLOOKUP(K3,'Estimates and Assumptions'!$F$12:$Q$17,3,FALSE),HLOOKUP('Estimates and Assumptions'!$Q$12,'Estimates and Assumptions'!$F$12:$Q$17,3,FALSE))</f>
        <v>2500</v>
      </c>
      <c r="L50" s="19">
        <f>IF(ISNUMBER(HLOOKUP(L3,'Estimates and Assumptions'!$F$12:$Q$17,3,FALSE)),HLOOKUP(L3,'Estimates and Assumptions'!$F$12:$Q$17,3,FALSE),HLOOKUP('Estimates and Assumptions'!$Q$12,'Estimates and Assumptions'!$F$12:$Q$17,3,FALSE))</f>
        <v>2400</v>
      </c>
      <c r="M50" s="19">
        <f>IF(ISNUMBER(HLOOKUP(M3,'Estimates and Assumptions'!$F$12:$Q$17,3,FALSE)),HLOOKUP(M3,'Estimates and Assumptions'!$F$12:$Q$17,3,FALSE),HLOOKUP('Estimates and Assumptions'!$Q$12,'Estimates and Assumptions'!$F$12:$Q$17,3,FALSE))</f>
        <v>2300</v>
      </c>
      <c r="N50" s="19">
        <f>IF(ISNUMBER(HLOOKUP(N3,'Estimates and Assumptions'!$F$12:$Q$17,3,FALSE)),HLOOKUP(N3,'Estimates and Assumptions'!$F$12:$Q$17,3,FALSE),HLOOKUP('Estimates and Assumptions'!$Q$12,'Estimates and Assumptions'!$F$12:$Q$17,3,FALSE))</f>
        <v>2200</v>
      </c>
      <c r="O50" s="19">
        <f>IF(ISNUMBER(HLOOKUP(O3,'Estimates and Assumptions'!$F$12:$Q$17,3,FALSE)),HLOOKUP(O3,'Estimates and Assumptions'!$F$12:$Q$17,3,FALSE),HLOOKUP('Estimates and Assumptions'!$Q$12,'Estimates and Assumptions'!$F$12:$Q$17,3,FALSE))</f>
        <v>2100</v>
      </c>
      <c r="P50" s="19">
        <f>IF(ISNUMBER(HLOOKUP(P3,'Estimates and Assumptions'!$F$12:$Q$17,3,FALSE)),HLOOKUP(P3,'Estimates and Assumptions'!$F$12:$Q$17,3,FALSE),HLOOKUP('Estimates and Assumptions'!$Q$12,'Estimates and Assumptions'!$F$12:$Q$17,3,FALSE))</f>
        <v>2000</v>
      </c>
      <c r="Q50" s="19">
        <f>IF(ISNUMBER(HLOOKUP(Q3,'Estimates and Assumptions'!$F$12:$Q$17,3,FALSE)),HLOOKUP(Q3,'Estimates and Assumptions'!$F$12:$Q$17,3,FALSE),HLOOKUP('Estimates and Assumptions'!$Q$12,'Estimates and Assumptions'!$F$12:$Q$17,3,FALSE))</f>
        <v>2000</v>
      </c>
      <c r="R50" s="19">
        <f>IF(ISNUMBER(HLOOKUP(R3,'Estimates and Assumptions'!$F$12:$Q$17,3,FALSE)),HLOOKUP(R3,'Estimates and Assumptions'!$F$12:$Q$17,3,FALSE),HLOOKUP('Estimates and Assumptions'!$Q$12,'Estimates and Assumptions'!$F$12:$Q$17,3,FALSE))</f>
        <v>2000</v>
      </c>
      <c r="S50" s="19">
        <f>IF(ISNUMBER(HLOOKUP(S3,'Estimates and Assumptions'!$F$12:$Q$17,3,FALSE)),HLOOKUP(S3,'Estimates and Assumptions'!$F$12:$Q$17,3,FALSE),HLOOKUP('Estimates and Assumptions'!$Q$12,'Estimates and Assumptions'!$F$12:$Q$17,3,FALSE))</f>
        <v>2000</v>
      </c>
      <c r="T50" s="19">
        <f>IF(ISNUMBER(HLOOKUP(T3,'Estimates and Assumptions'!$F$12:$Q$17,3,FALSE)),HLOOKUP(T3,'Estimates and Assumptions'!$F$12:$Q$17,3,FALSE),HLOOKUP('Estimates and Assumptions'!$Q$12,'Estimates and Assumptions'!$F$12:$Q$17,3,FALSE))</f>
        <v>2000</v>
      </c>
      <c r="U50" s="19">
        <f>IF(ISNUMBER(HLOOKUP(U3,'Estimates and Assumptions'!$F$12:$Q$17,3,FALSE)),HLOOKUP(U3,'Estimates and Assumptions'!$F$12:$Q$17,3,FALSE),HLOOKUP('Estimates and Assumptions'!$Q$12,'Estimates and Assumptions'!$F$12:$Q$17,3,FALSE))</f>
        <v>2000</v>
      </c>
      <c r="V50" s="19">
        <f>IF(ISNUMBER(HLOOKUP(V3,'Estimates and Assumptions'!$F$12:$Q$17,3,FALSE)),HLOOKUP(V3,'Estimates and Assumptions'!$F$12:$Q$17,3,FALSE),HLOOKUP('Estimates and Assumptions'!$Q$12,'Estimates and Assumptions'!$F$12:$Q$17,3,FALSE))</f>
        <v>2000</v>
      </c>
      <c r="W50" s="35"/>
    </row>
    <row r="51" spans="2:23" x14ac:dyDescent="0.35">
      <c r="B51" s="34"/>
      <c r="C51" s="19" t="s">
        <v>31</v>
      </c>
      <c r="D51" s="19"/>
      <c r="E51" s="19"/>
      <c r="F51" s="19"/>
      <c r="G51" s="19"/>
      <c r="H51" s="19">
        <f>IF(ISNUMBER(HLOOKUP(H3,'Estimates and Assumptions'!$F$12:$Q$17,6,FALSE)),HLOOKUP(H3,'Estimates and Assumptions'!$F$12:$Q$17,6,FALSE),HLOOKUP('Estimates and Assumptions'!$Q$12,'Estimates and Assumptions'!$F$12:$Q$17,6,FALSE))</f>
        <v>1852.5</v>
      </c>
      <c r="I51" s="19">
        <f>IF(ISNUMBER(HLOOKUP(I3,'Estimates and Assumptions'!$F$12:$Q$17,6,FALSE)),HLOOKUP(I3,'Estimates and Assumptions'!$F$12:$Q$17,6,FALSE),HLOOKUP('Estimates and Assumptions'!$Q$12,'Estimates and Assumptions'!$F$12:$Q$17,6,FALSE))</f>
        <v>2470</v>
      </c>
      <c r="J51" s="19">
        <f>IF(ISNUMBER(HLOOKUP(J3,'Estimates and Assumptions'!$F$12:$Q$17,6,FALSE)),HLOOKUP(J3,'Estimates and Assumptions'!$F$12:$Q$17,6,FALSE),HLOOKUP('Estimates and Assumptions'!$Q$12,'Estimates and Assumptions'!$F$12:$Q$17,6,FALSE))</f>
        <v>2470</v>
      </c>
      <c r="K51" s="19">
        <f>IF(ISNUMBER(HLOOKUP(K3,'Estimates and Assumptions'!$F$12:$Q$17,6,FALSE)),HLOOKUP(K3,'Estimates and Assumptions'!$F$12:$Q$17,6,FALSE),HLOOKUP('Estimates and Assumptions'!$Q$12,'Estimates and Assumptions'!$F$12:$Q$17,6,FALSE))</f>
        <v>2375</v>
      </c>
      <c r="L51" s="19">
        <f>IF(ISNUMBER(HLOOKUP(L3,'Estimates and Assumptions'!$F$12:$Q$17,6,FALSE)),HLOOKUP(L3,'Estimates and Assumptions'!$F$12:$Q$17,6,FALSE),HLOOKUP('Estimates and Assumptions'!$Q$12,'Estimates and Assumptions'!$F$12:$Q$17,6,FALSE))</f>
        <v>2280</v>
      </c>
      <c r="M51" s="19">
        <f>IF(ISNUMBER(HLOOKUP(M3,'Estimates and Assumptions'!$F$12:$Q$17,6,FALSE)),HLOOKUP(M3,'Estimates and Assumptions'!$F$12:$Q$17,6,FALSE),HLOOKUP('Estimates and Assumptions'!$Q$12,'Estimates and Assumptions'!$F$12:$Q$17,6,FALSE))</f>
        <v>2185</v>
      </c>
      <c r="N51" s="19">
        <f>IF(ISNUMBER(HLOOKUP(N3,'Estimates and Assumptions'!$F$12:$Q$17,6,FALSE)),HLOOKUP(N3,'Estimates and Assumptions'!$F$12:$Q$17,6,FALSE),HLOOKUP('Estimates and Assumptions'!$Q$12,'Estimates and Assumptions'!$F$12:$Q$17,6,FALSE))</f>
        <v>2090</v>
      </c>
      <c r="O51" s="19">
        <f>IF(ISNUMBER(HLOOKUP(O3,'Estimates and Assumptions'!$F$12:$Q$17,6,FALSE)),HLOOKUP(O3,'Estimates and Assumptions'!$F$12:$Q$17,6,FALSE),HLOOKUP('Estimates and Assumptions'!$Q$12,'Estimates and Assumptions'!$F$12:$Q$17,6,FALSE))</f>
        <v>1995</v>
      </c>
      <c r="P51" s="19">
        <f>IF(ISNUMBER(HLOOKUP(P3,'Estimates and Assumptions'!$F$12:$Q$17,6,FALSE)),HLOOKUP(P3,'Estimates and Assumptions'!$F$12:$Q$17,6,FALSE),HLOOKUP('Estimates and Assumptions'!$Q$12,'Estimates and Assumptions'!$F$12:$Q$17,6,FALSE))</f>
        <v>1900</v>
      </c>
      <c r="Q51" s="19">
        <f>IF(ISNUMBER(HLOOKUP(Q3,'Estimates and Assumptions'!$F$12:$Q$17,6,FALSE)),HLOOKUP(Q3,'Estimates and Assumptions'!$F$12:$Q$17,6,FALSE),HLOOKUP('Estimates and Assumptions'!$Q$12,'Estimates and Assumptions'!$F$12:$Q$17,6,FALSE))</f>
        <v>1900</v>
      </c>
      <c r="R51" s="19">
        <f>IF(ISNUMBER(HLOOKUP(R3,'Estimates and Assumptions'!$F$12:$Q$17,6,FALSE)),HLOOKUP(R3,'Estimates and Assumptions'!$F$12:$Q$17,6,FALSE),HLOOKUP('Estimates and Assumptions'!$Q$12,'Estimates and Assumptions'!$F$12:$Q$17,6,FALSE))</f>
        <v>1900</v>
      </c>
      <c r="S51" s="19">
        <f>IF(ISNUMBER(HLOOKUP(S3,'Estimates and Assumptions'!$F$12:$Q$17,6,FALSE)),HLOOKUP(S3,'Estimates and Assumptions'!$F$12:$Q$17,6,FALSE),HLOOKUP('Estimates and Assumptions'!$Q$12,'Estimates and Assumptions'!$F$12:$Q$17,6,FALSE))</f>
        <v>1900</v>
      </c>
      <c r="T51" s="19">
        <f>IF(ISNUMBER(HLOOKUP(T3,'Estimates and Assumptions'!$F$12:$Q$17,6,FALSE)),HLOOKUP(T3,'Estimates and Assumptions'!$F$12:$Q$17,6,FALSE),HLOOKUP('Estimates and Assumptions'!$Q$12,'Estimates and Assumptions'!$F$12:$Q$17,6,FALSE))</f>
        <v>1900</v>
      </c>
      <c r="U51" s="19">
        <f>IF(ISNUMBER(HLOOKUP(U3,'Estimates and Assumptions'!$F$12:$Q$17,6,FALSE)),HLOOKUP(U3,'Estimates and Assumptions'!$F$12:$Q$17,6,FALSE),HLOOKUP('Estimates and Assumptions'!$Q$12,'Estimates and Assumptions'!$F$12:$Q$17,6,FALSE))</f>
        <v>1900</v>
      </c>
      <c r="V51" s="19">
        <f>IF(ISNUMBER(HLOOKUP(V3,'Estimates and Assumptions'!$F$12:$Q$17,6,FALSE)),HLOOKUP(V3,'Estimates and Assumptions'!$F$12:$Q$17,6,FALSE),HLOOKUP('Estimates and Assumptions'!$Q$12,'Estimates and Assumptions'!$F$12:$Q$17,6,FALSE))</f>
        <v>1900</v>
      </c>
      <c r="W51" s="35"/>
    </row>
    <row r="52" spans="2:23" x14ac:dyDescent="0.35">
      <c r="B52" s="34"/>
      <c r="C52" s="19"/>
      <c r="D52" s="19"/>
      <c r="E52" s="19"/>
      <c r="F52" s="19"/>
      <c r="G52" s="19"/>
      <c r="H52" s="19"/>
      <c r="I52" s="19"/>
      <c r="J52" s="19"/>
      <c r="K52" s="19"/>
      <c r="L52" s="19"/>
      <c r="M52" s="19"/>
      <c r="N52" s="19"/>
      <c r="O52" s="19"/>
      <c r="P52" s="19"/>
      <c r="Q52" s="19"/>
      <c r="R52" s="19"/>
      <c r="S52" s="19"/>
      <c r="T52" s="19"/>
      <c r="U52" s="19"/>
      <c r="V52" s="19"/>
      <c r="W52" s="35"/>
    </row>
    <row r="53" spans="2:23" x14ac:dyDescent="0.35">
      <c r="B53" s="34"/>
      <c r="C53" s="19" t="s">
        <v>49</v>
      </c>
      <c r="D53" s="19"/>
      <c r="E53" s="19"/>
      <c r="F53" s="19"/>
      <c r="G53" s="19"/>
      <c r="H53" s="83">
        <f>H42*H51</f>
        <v>884553.85852090025</v>
      </c>
      <c r="I53" s="83">
        <f t="shared" ref="I53:V53" si="51">I42*I51</f>
        <v>1179405.1446945337</v>
      </c>
      <c r="J53" s="83">
        <f t="shared" si="51"/>
        <v>1179405.1446945337</v>
      </c>
      <c r="K53" s="83">
        <f t="shared" si="51"/>
        <v>1134043.4083601285</v>
      </c>
      <c r="L53" s="83">
        <f t="shared" si="51"/>
        <v>1088681.6720257234</v>
      </c>
      <c r="M53" s="83">
        <f t="shared" si="51"/>
        <v>1043319.9356913182</v>
      </c>
      <c r="N53" s="83">
        <f t="shared" si="51"/>
        <v>997958.1993569131</v>
      </c>
      <c r="O53" s="83">
        <f t="shared" si="51"/>
        <v>259799.03536977494</v>
      </c>
      <c r="P53" s="83">
        <f t="shared" si="51"/>
        <v>0</v>
      </c>
      <c r="Q53" s="83">
        <f t="shared" si="51"/>
        <v>0</v>
      </c>
      <c r="R53" s="83">
        <f t="shared" si="51"/>
        <v>0</v>
      </c>
      <c r="S53" s="83">
        <f t="shared" si="51"/>
        <v>0</v>
      </c>
      <c r="T53" s="83">
        <f t="shared" si="51"/>
        <v>0</v>
      </c>
      <c r="U53" s="83">
        <f t="shared" si="51"/>
        <v>0</v>
      </c>
      <c r="V53" s="83">
        <f t="shared" si="51"/>
        <v>0</v>
      </c>
      <c r="W53" s="35"/>
    </row>
    <row r="54" spans="2:23" x14ac:dyDescent="0.35">
      <c r="B54" s="34"/>
      <c r="C54" s="19" t="s">
        <v>50</v>
      </c>
      <c r="D54" s="19"/>
      <c r="E54" s="19"/>
      <c r="F54" s="19"/>
      <c r="G54" s="19"/>
      <c r="H54" s="83">
        <f>H51*H43</f>
        <v>1005174.8392282957</v>
      </c>
      <c r="I54" s="83">
        <f t="shared" ref="I54:V54" si="52">I51*I43</f>
        <v>1340233.118971061</v>
      </c>
      <c r="J54" s="83">
        <f t="shared" si="52"/>
        <v>1340233.118971061</v>
      </c>
      <c r="K54" s="83">
        <f t="shared" si="52"/>
        <v>1288685.6913183278</v>
      </c>
      <c r="L54" s="83">
        <f t="shared" si="52"/>
        <v>1237138.2636655949</v>
      </c>
      <c r="M54" s="83">
        <f t="shared" si="52"/>
        <v>1185590.8360128617</v>
      </c>
      <c r="N54" s="83">
        <f t="shared" si="52"/>
        <v>1134043.4083601285</v>
      </c>
      <c r="O54" s="83">
        <f t="shared" si="52"/>
        <v>1082495.9807073954</v>
      </c>
      <c r="P54" s="83">
        <f t="shared" si="52"/>
        <v>1030948.5530546623</v>
      </c>
      <c r="Q54" s="83">
        <f t="shared" si="52"/>
        <v>1030948.5530546623</v>
      </c>
      <c r="R54" s="83">
        <f t="shared" si="52"/>
        <v>1030948.5530546623</v>
      </c>
      <c r="S54" s="83">
        <f t="shared" si="52"/>
        <v>1030948.5530546623</v>
      </c>
      <c r="T54" s="83">
        <f t="shared" si="52"/>
        <v>0</v>
      </c>
      <c r="U54" s="83">
        <f t="shared" si="52"/>
        <v>0</v>
      </c>
      <c r="V54" s="83">
        <f t="shared" si="52"/>
        <v>0</v>
      </c>
      <c r="W54" s="35"/>
    </row>
    <row r="55" spans="2:23" x14ac:dyDescent="0.35">
      <c r="B55" s="34"/>
      <c r="C55" s="19" t="s">
        <v>51</v>
      </c>
      <c r="D55" s="19"/>
      <c r="E55" s="19"/>
      <c r="F55" s="19"/>
      <c r="G55" s="19"/>
      <c r="H55" s="83">
        <f>H51*H44</f>
        <v>1447451.7684887459</v>
      </c>
      <c r="I55" s="83">
        <f t="shared" ref="I55:V55" si="53">I51*I44</f>
        <v>1929935.6913183278</v>
      </c>
      <c r="J55" s="83">
        <f t="shared" si="53"/>
        <v>1929935.6913183278</v>
      </c>
      <c r="K55" s="83">
        <f t="shared" si="53"/>
        <v>1855707.3954983922</v>
      </c>
      <c r="L55" s="83">
        <f t="shared" si="53"/>
        <v>1781479.0996784563</v>
      </c>
      <c r="M55" s="83">
        <f t="shared" si="53"/>
        <v>1707250.8038585207</v>
      </c>
      <c r="N55" s="83">
        <f t="shared" si="53"/>
        <v>1633022.5080385851</v>
      </c>
      <c r="O55" s="83">
        <f t="shared" si="53"/>
        <v>1558794.2122186495</v>
      </c>
      <c r="P55" s="83">
        <f t="shared" si="53"/>
        <v>1484565.9163987136</v>
      </c>
      <c r="Q55" s="83">
        <f t="shared" si="53"/>
        <v>1484565.9163987136</v>
      </c>
      <c r="R55" s="83">
        <f t="shared" si="53"/>
        <v>1484565.9163987136</v>
      </c>
      <c r="S55" s="83">
        <f t="shared" si="53"/>
        <v>1484565.9163987136</v>
      </c>
      <c r="T55" s="83">
        <f t="shared" si="53"/>
        <v>1484565.9163987136</v>
      </c>
      <c r="U55" s="83">
        <f t="shared" si="53"/>
        <v>494855.30546623794</v>
      </c>
      <c r="V55" s="83">
        <f t="shared" si="53"/>
        <v>0</v>
      </c>
      <c r="W55" s="35"/>
    </row>
    <row r="56" spans="2:23" x14ac:dyDescent="0.35">
      <c r="B56" s="34"/>
      <c r="C56" s="19"/>
      <c r="D56" s="19"/>
      <c r="E56" s="19"/>
      <c r="F56" s="19"/>
      <c r="G56" s="19"/>
      <c r="H56" s="19"/>
      <c r="I56" s="19"/>
      <c r="J56" s="19"/>
      <c r="K56" s="19"/>
      <c r="L56" s="19"/>
      <c r="M56" s="19"/>
      <c r="N56" s="19"/>
      <c r="O56" s="19"/>
      <c r="P56" s="19"/>
      <c r="Q56" s="19"/>
      <c r="R56" s="19"/>
      <c r="S56" s="19"/>
      <c r="T56" s="19"/>
      <c r="U56" s="19"/>
      <c r="V56" s="19"/>
      <c r="W56" s="35"/>
    </row>
    <row r="57" spans="2:23" ht="15" thickBot="1" x14ac:dyDescent="0.4">
      <c r="B57" s="34"/>
      <c r="C57" s="153" t="s">
        <v>52</v>
      </c>
      <c r="D57" s="153"/>
      <c r="E57" s="153"/>
      <c r="F57" s="76"/>
      <c r="G57" s="76"/>
      <c r="H57" s="77">
        <f>H51*H46</f>
        <v>3337180.4662379418</v>
      </c>
      <c r="I57" s="77">
        <f t="shared" ref="I57:V57" si="54">I51*I46</f>
        <v>4449573.9549839227</v>
      </c>
      <c r="J57" s="77">
        <f t="shared" si="54"/>
        <v>4449573.9549839227</v>
      </c>
      <c r="K57" s="77">
        <f t="shared" si="54"/>
        <v>4278436.495176849</v>
      </c>
      <c r="L57" s="77">
        <f t="shared" si="54"/>
        <v>4107299.0353697748</v>
      </c>
      <c r="M57" s="77">
        <f t="shared" si="54"/>
        <v>3936161.5755627006</v>
      </c>
      <c r="N57" s="77">
        <f t="shared" si="54"/>
        <v>3765024.1157556269</v>
      </c>
      <c r="O57" s="77">
        <f t="shared" si="54"/>
        <v>2901089.2282958194</v>
      </c>
      <c r="P57" s="77">
        <f t="shared" si="54"/>
        <v>2515514.4694533758</v>
      </c>
      <c r="Q57" s="77">
        <f t="shared" si="54"/>
        <v>2515514.4694533758</v>
      </c>
      <c r="R57" s="77">
        <f t="shared" si="54"/>
        <v>2515514.4694533758</v>
      </c>
      <c r="S57" s="77">
        <f t="shared" si="54"/>
        <v>2515514.4694533758</v>
      </c>
      <c r="T57" s="77">
        <f t="shared" si="54"/>
        <v>1484565.9163987136</v>
      </c>
      <c r="U57" s="77">
        <f t="shared" si="54"/>
        <v>494855.30546623794</v>
      </c>
      <c r="V57" s="77">
        <f t="shared" si="54"/>
        <v>0</v>
      </c>
      <c r="W57" s="35"/>
    </row>
    <row r="58" spans="2:23" ht="15" thickTop="1" x14ac:dyDescent="0.35">
      <c r="B58" s="34"/>
      <c r="W58" s="35"/>
    </row>
    <row r="59" spans="2:23" x14ac:dyDescent="0.35">
      <c r="B59" s="34"/>
      <c r="C59" s="4" t="s">
        <v>18</v>
      </c>
      <c r="D59" s="5"/>
      <c r="E59" s="6"/>
      <c r="F59" s="6"/>
      <c r="G59" s="6"/>
      <c r="H59" s="6"/>
      <c r="I59" s="6"/>
      <c r="J59" s="6"/>
      <c r="K59" s="6"/>
      <c r="L59" s="6"/>
      <c r="M59" s="6"/>
      <c r="N59" s="6"/>
      <c r="O59" s="6"/>
      <c r="P59" s="6"/>
      <c r="Q59" s="6"/>
      <c r="R59" s="6"/>
      <c r="S59" s="6"/>
      <c r="T59" s="6"/>
      <c r="U59" s="6"/>
      <c r="V59" s="6"/>
      <c r="W59" s="35"/>
    </row>
    <row r="60" spans="2:23" x14ac:dyDescent="0.35">
      <c r="B60" s="34"/>
      <c r="W60" s="35"/>
    </row>
    <row r="61" spans="2:23" x14ac:dyDescent="0.35">
      <c r="B61" s="34"/>
      <c r="C61" s="19" t="s">
        <v>14</v>
      </c>
      <c r="D61" s="19"/>
      <c r="E61" s="19"/>
      <c r="F61" s="19"/>
      <c r="G61" s="19"/>
      <c r="H61" s="19"/>
      <c r="I61" s="19"/>
      <c r="J61" s="19"/>
      <c r="K61" s="19"/>
      <c r="L61" s="19"/>
      <c r="M61" s="19"/>
      <c r="N61" s="19"/>
      <c r="O61" s="19"/>
      <c r="P61" s="19"/>
      <c r="Q61" s="19"/>
      <c r="R61" s="19"/>
      <c r="S61" s="19"/>
      <c r="T61" s="19"/>
      <c r="U61" s="19"/>
      <c r="V61" s="19"/>
      <c r="W61" s="35"/>
    </row>
    <row r="62" spans="2:23" x14ac:dyDescent="0.35">
      <c r="B62" s="34"/>
      <c r="C62" s="19"/>
      <c r="D62" s="19" t="s">
        <v>44</v>
      </c>
      <c r="E62" s="19"/>
      <c r="F62" s="19" t="s">
        <v>42</v>
      </c>
      <c r="G62" s="19"/>
      <c r="H62" s="19"/>
      <c r="I62" s="19"/>
      <c r="J62" s="19"/>
      <c r="K62" s="19"/>
      <c r="L62" s="19"/>
      <c r="M62" s="19"/>
      <c r="N62" s="19"/>
      <c r="O62" s="19"/>
      <c r="P62" s="19"/>
      <c r="Q62" s="19"/>
      <c r="R62" s="19"/>
      <c r="S62" s="19"/>
      <c r="T62" s="19"/>
      <c r="U62" s="19"/>
      <c r="V62" s="19"/>
      <c r="W62" s="35"/>
    </row>
    <row r="63" spans="2:23" x14ac:dyDescent="0.35">
      <c r="B63" s="34"/>
      <c r="C63" s="19"/>
      <c r="D63" s="19"/>
      <c r="E63" s="19" t="s">
        <v>33</v>
      </c>
      <c r="F63" s="84">
        <f>'Estimates and Assumptions'!D32</f>
        <v>10</v>
      </c>
      <c r="G63" s="19"/>
      <c r="H63" s="83">
        <f>$F$63*H9</f>
        <v>13750</v>
      </c>
      <c r="I63" s="83">
        <f t="shared" ref="I63:V63" si="55">$F$63*I9</f>
        <v>13750</v>
      </c>
      <c r="J63" s="83">
        <f t="shared" si="55"/>
        <v>13750</v>
      </c>
      <c r="K63" s="83">
        <f t="shared" si="55"/>
        <v>13750</v>
      </c>
      <c r="L63" s="83">
        <f t="shared" si="55"/>
        <v>13750</v>
      </c>
      <c r="M63" s="83">
        <f t="shared" si="55"/>
        <v>13750</v>
      </c>
      <c r="N63" s="83">
        <f t="shared" si="55"/>
        <v>13750</v>
      </c>
      <c r="O63" s="83">
        <f t="shared" si="55"/>
        <v>3750</v>
      </c>
      <c r="P63" s="83">
        <f t="shared" si="55"/>
        <v>0</v>
      </c>
      <c r="Q63" s="83">
        <f t="shared" si="55"/>
        <v>0</v>
      </c>
      <c r="R63" s="83">
        <f t="shared" si="55"/>
        <v>0</v>
      </c>
      <c r="S63" s="83">
        <f t="shared" si="55"/>
        <v>0</v>
      </c>
      <c r="T63" s="83">
        <f t="shared" si="55"/>
        <v>0</v>
      </c>
      <c r="U63" s="83">
        <f t="shared" si="55"/>
        <v>0</v>
      </c>
      <c r="V63" s="83">
        <f t="shared" si="55"/>
        <v>0</v>
      </c>
      <c r="W63" s="35"/>
    </row>
    <row r="64" spans="2:23" x14ac:dyDescent="0.35">
      <c r="B64" s="34"/>
      <c r="C64" s="19"/>
      <c r="D64" s="19"/>
      <c r="E64" s="19" t="s">
        <v>34</v>
      </c>
      <c r="F64" s="84">
        <f>'Estimates and Assumptions'!E32</f>
        <v>50</v>
      </c>
      <c r="G64" s="19"/>
      <c r="H64" s="83">
        <f>$F$64*H9</f>
        <v>68750</v>
      </c>
      <c r="I64" s="83">
        <f t="shared" ref="I64:V64" si="56">$F$64*I9</f>
        <v>68750</v>
      </c>
      <c r="J64" s="83">
        <f t="shared" si="56"/>
        <v>68750</v>
      </c>
      <c r="K64" s="83">
        <f t="shared" si="56"/>
        <v>68750</v>
      </c>
      <c r="L64" s="83">
        <f t="shared" si="56"/>
        <v>68750</v>
      </c>
      <c r="M64" s="83">
        <f t="shared" si="56"/>
        <v>68750</v>
      </c>
      <c r="N64" s="83">
        <f t="shared" si="56"/>
        <v>68750</v>
      </c>
      <c r="O64" s="83">
        <f t="shared" si="56"/>
        <v>18750</v>
      </c>
      <c r="P64" s="83">
        <f t="shared" si="56"/>
        <v>0</v>
      </c>
      <c r="Q64" s="83">
        <f t="shared" si="56"/>
        <v>0</v>
      </c>
      <c r="R64" s="83">
        <f t="shared" si="56"/>
        <v>0</v>
      </c>
      <c r="S64" s="83">
        <f t="shared" si="56"/>
        <v>0</v>
      </c>
      <c r="T64" s="83">
        <f t="shared" si="56"/>
        <v>0</v>
      </c>
      <c r="U64" s="83">
        <f t="shared" si="56"/>
        <v>0</v>
      </c>
      <c r="V64" s="83">
        <f t="shared" si="56"/>
        <v>0</v>
      </c>
      <c r="W64" s="35"/>
    </row>
    <row r="65" spans="2:23" x14ac:dyDescent="0.35">
      <c r="B65" s="34"/>
      <c r="C65" s="19"/>
      <c r="D65" s="19"/>
      <c r="E65" s="19" t="s">
        <v>35</v>
      </c>
      <c r="F65" s="84">
        <f>'Estimates and Assumptions'!F32</f>
        <v>20</v>
      </c>
      <c r="G65" s="19"/>
      <c r="H65" s="83">
        <f>$F$65*H9</f>
        <v>27500</v>
      </c>
      <c r="I65" s="83">
        <f t="shared" ref="I65:V65" si="57">$F$65*I9</f>
        <v>27500</v>
      </c>
      <c r="J65" s="83">
        <f t="shared" si="57"/>
        <v>27500</v>
      </c>
      <c r="K65" s="83">
        <f t="shared" si="57"/>
        <v>27500</v>
      </c>
      <c r="L65" s="83">
        <f t="shared" si="57"/>
        <v>27500</v>
      </c>
      <c r="M65" s="83">
        <f t="shared" si="57"/>
        <v>27500</v>
      </c>
      <c r="N65" s="83">
        <f t="shared" si="57"/>
        <v>27500</v>
      </c>
      <c r="O65" s="83">
        <f t="shared" si="57"/>
        <v>7500</v>
      </c>
      <c r="P65" s="83">
        <f t="shared" si="57"/>
        <v>0</v>
      </c>
      <c r="Q65" s="83">
        <f t="shared" si="57"/>
        <v>0</v>
      </c>
      <c r="R65" s="83">
        <f t="shared" si="57"/>
        <v>0</v>
      </c>
      <c r="S65" s="83">
        <f t="shared" si="57"/>
        <v>0</v>
      </c>
      <c r="T65" s="83">
        <f t="shared" si="57"/>
        <v>0</v>
      </c>
      <c r="U65" s="83">
        <f t="shared" si="57"/>
        <v>0</v>
      </c>
      <c r="V65" s="83">
        <f t="shared" si="57"/>
        <v>0</v>
      </c>
      <c r="W65" s="35"/>
    </row>
    <row r="66" spans="2:23" x14ac:dyDescent="0.35">
      <c r="B66" s="34"/>
      <c r="C66" s="19"/>
      <c r="D66" s="19"/>
      <c r="E66" s="19"/>
      <c r="F66" s="19"/>
      <c r="G66" s="19"/>
      <c r="H66" s="83"/>
      <c r="I66" s="83"/>
      <c r="J66" s="83"/>
      <c r="K66" s="83"/>
      <c r="L66" s="83"/>
      <c r="M66" s="83"/>
      <c r="N66" s="83"/>
      <c r="O66" s="83"/>
      <c r="P66" s="83"/>
      <c r="Q66" s="83"/>
      <c r="R66" s="83"/>
      <c r="S66" s="83"/>
      <c r="T66" s="83"/>
      <c r="U66" s="83"/>
      <c r="V66" s="83"/>
      <c r="W66" s="35"/>
    </row>
    <row r="67" spans="2:23" x14ac:dyDescent="0.35">
      <c r="B67" s="34"/>
      <c r="C67" s="19"/>
      <c r="D67" s="19" t="s">
        <v>43</v>
      </c>
      <c r="E67" s="19"/>
      <c r="F67" s="19"/>
      <c r="G67" s="19"/>
      <c r="H67" s="83">
        <f>SUM(H63:H65)</f>
        <v>110000</v>
      </c>
      <c r="I67" s="83">
        <f t="shared" ref="I67:V67" si="58">SUM(I63:I65)</f>
        <v>110000</v>
      </c>
      <c r="J67" s="83">
        <f t="shared" si="58"/>
        <v>110000</v>
      </c>
      <c r="K67" s="83">
        <f t="shared" si="58"/>
        <v>110000</v>
      </c>
      <c r="L67" s="83">
        <f t="shared" si="58"/>
        <v>110000</v>
      </c>
      <c r="M67" s="83">
        <f t="shared" si="58"/>
        <v>110000</v>
      </c>
      <c r="N67" s="83">
        <f t="shared" si="58"/>
        <v>110000</v>
      </c>
      <c r="O67" s="83">
        <f t="shared" si="58"/>
        <v>30000</v>
      </c>
      <c r="P67" s="83">
        <f t="shared" si="58"/>
        <v>0</v>
      </c>
      <c r="Q67" s="83">
        <f t="shared" si="58"/>
        <v>0</v>
      </c>
      <c r="R67" s="83">
        <f t="shared" si="58"/>
        <v>0</v>
      </c>
      <c r="S67" s="83">
        <f t="shared" si="58"/>
        <v>0</v>
      </c>
      <c r="T67" s="83">
        <f t="shared" si="58"/>
        <v>0</v>
      </c>
      <c r="U67" s="83">
        <f t="shared" si="58"/>
        <v>0</v>
      </c>
      <c r="V67" s="83">
        <f t="shared" si="58"/>
        <v>0</v>
      </c>
      <c r="W67" s="35"/>
    </row>
    <row r="68" spans="2:23" x14ac:dyDescent="0.35">
      <c r="B68" s="34"/>
      <c r="C68" s="19"/>
      <c r="D68" s="19"/>
      <c r="E68" s="19"/>
      <c r="F68" s="19"/>
      <c r="G68" s="19"/>
      <c r="H68" s="83"/>
      <c r="I68" s="83"/>
      <c r="J68" s="83"/>
      <c r="K68" s="83"/>
      <c r="L68" s="83"/>
      <c r="M68" s="83"/>
      <c r="N68" s="83"/>
      <c r="O68" s="83"/>
      <c r="P68" s="83"/>
      <c r="Q68" s="83"/>
      <c r="R68" s="83"/>
      <c r="S68" s="83"/>
      <c r="T68" s="83"/>
      <c r="U68" s="83"/>
      <c r="V68" s="83"/>
      <c r="W68" s="35"/>
    </row>
    <row r="69" spans="2:23" x14ac:dyDescent="0.35">
      <c r="B69" s="34"/>
      <c r="C69" s="19"/>
      <c r="D69" s="19" t="s">
        <v>37</v>
      </c>
      <c r="E69" s="19"/>
      <c r="F69" s="19"/>
      <c r="G69" s="19"/>
      <c r="H69" s="83"/>
      <c r="I69" s="83"/>
      <c r="J69" s="83"/>
      <c r="K69" s="83"/>
      <c r="L69" s="83"/>
      <c r="M69" s="83"/>
      <c r="N69" s="83"/>
      <c r="O69" s="83"/>
      <c r="P69" s="83"/>
      <c r="Q69" s="83"/>
      <c r="R69" s="83"/>
      <c r="S69" s="83"/>
      <c r="T69" s="83"/>
      <c r="U69" s="83"/>
      <c r="V69" s="83"/>
      <c r="W69" s="35"/>
    </row>
    <row r="70" spans="2:23" x14ac:dyDescent="0.35">
      <c r="B70" s="34"/>
      <c r="C70" s="19"/>
      <c r="D70" s="19"/>
      <c r="E70" s="19" t="s">
        <v>45</v>
      </c>
      <c r="F70" s="85">
        <f>'Estimates and Assumptions'!G32</f>
        <v>80000</v>
      </c>
      <c r="G70" s="19"/>
      <c r="H70" s="83">
        <f>IF(H9&gt;0,$F$70,0)</f>
        <v>80000</v>
      </c>
      <c r="I70" s="83">
        <f t="shared" ref="I70:V70" si="59">IF(I9&gt;0,$F$70,0)</f>
        <v>80000</v>
      </c>
      <c r="J70" s="83">
        <f t="shared" si="59"/>
        <v>80000</v>
      </c>
      <c r="K70" s="83">
        <f t="shared" si="59"/>
        <v>80000</v>
      </c>
      <c r="L70" s="83">
        <f t="shared" si="59"/>
        <v>80000</v>
      </c>
      <c r="M70" s="83">
        <f t="shared" si="59"/>
        <v>80000</v>
      </c>
      <c r="N70" s="83">
        <f t="shared" si="59"/>
        <v>80000</v>
      </c>
      <c r="O70" s="83">
        <f t="shared" si="59"/>
        <v>80000</v>
      </c>
      <c r="P70" s="83">
        <f t="shared" si="59"/>
        <v>0</v>
      </c>
      <c r="Q70" s="83">
        <f t="shared" si="59"/>
        <v>0</v>
      </c>
      <c r="R70" s="83">
        <f t="shared" si="59"/>
        <v>0</v>
      </c>
      <c r="S70" s="83">
        <f t="shared" si="59"/>
        <v>0</v>
      </c>
      <c r="T70" s="83">
        <f t="shared" si="59"/>
        <v>0</v>
      </c>
      <c r="U70" s="83">
        <f t="shared" si="59"/>
        <v>0</v>
      </c>
      <c r="V70" s="83">
        <f t="shared" si="59"/>
        <v>0</v>
      </c>
      <c r="W70" s="35"/>
    </row>
    <row r="71" spans="2:23" x14ac:dyDescent="0.35">
      <c r="B71" s="34"/>
      <c r="C71" s="19"/>
      <c r="D71" s="19"/>
      <c r="E71" s="19" t="s">
        <v>46</v>
      </c>
      <c r="F71" s="85">
        <f>'Estimates and Assumptions'!H32</f>
        <v>25000</v>
      </c>
      <c r="G71" s="19"/>
      <c r="H71" s="83">
        <f>IF(H9&gt;0,$F$71,0)</f>
        <v>25000</v>
      </c>
      <c r="I71" s="83">
        <f t="shared" ref="I71:V71" si="60">IF(I9&gt;0,$F$71,0)</f>
        <v>25000</v>
      </c>
      <c r="J71" s="83">
        <f t="shared" si="60"/>
        <v>25000</v>
      </c>
      <c r="K71" s="83">
        <f t="shared" si="60"/>
        <v>25000</v>
      </c>
      <c r="L71" s="83">
        <f t="shared" si="60"/>
        <v>25000</v>
      </c>
      <c r="M71" s="83">
        <f t="shared" si="60"/>
        <v>25000</v>
      </c>
      <c r="N71" s="83">
        <f t="shared" si="60"/>
        <v>25000</v>
      </c>
      <c r="O71" s="83">
        <f t="shared" si="60"/>
        <v>25000</v>
      </c>
      <c r="P71" s="83">
        <f t="shared" si="60"/>
        <v>0</v>
      </c>
      <c r="Q71" s="83">
        <f t="shared" si="60"/>
        <v>0</v>
      </c>
      <c r="R71" s="83">
        <f t="shared" si="60"/>
        <v>0</v>
      </c>
      <c r="S71" s="83">
        <f t="shared" si="60"/>
        <v>0</v>
      </c>
      <c r="T71" s="83">
        <f t="shared" si="60"/>
        <v>0</v>
      </c>
      <c r="U71" s="83">
        <f t="shared" si="60"/>
        <v>0</v>
      </c>
      <c r="V71" s="83">
        <f t="shared" si="60"/>
        <v>0</v>
      </c>
      <c r="W71" s="35"/>
    </row>
    <row r="72" spans="2:23" x14ac:dyDescent="0.35">
      <c r="B72" s="34"/>
      <c r="C72" s="19"/>
      <c r="D72" s="19"/>
      <c r="E72" s="19" t="s">
        <v>40</v>
      </c>
      <c r="F72" s="85">
        <f>'Estimates and Assumptions'!I32</f>
        <v>50000</v>
      </c>
      <c r="G72" s="19"/>
      <c r="H72" s="83">
        <f>IF(H9&gt;0,$F$72,0)</f>
        <v>50000</v>
      </c>
      <c r="I72" s="83">
        <f t="shared" ref="I72:V72" si="61">IF(I9&gt;0,$F$72,0)</f>
        <v>50000</v>
      </c>
      <c r="J72" s="83">
        <f t="shared" si="61"/>
        <v>50000</v>
      </c>
      <c r="K72" s="83">
        <f t="shared" si="61"/>
        <v>50000</v>
      </c>
      <c r="L72" s="83">
        <f t="shared" si="61"/>
        <v>50000</v>
      </c>
      <c r="M72" s="83">
        <f t="shared" si="61"/>
        <v>50000</v>
      </c>
      <c r="N72" s="83">
        <f t="shared" si="61"/>
        <v>50000</v>
      </c>
      <c r="O72" s="83">
        <f t="shared" si="61"/>
        <v>50000</v>
      </c>
      <c r="P72" s="83">
        <f t="shared" si="61"/>
        <v>0</v>
      </c>
      <c r="Q72" s="83">
        <f t="shared" si="61"/>
        <v>0</v>
      </c>
      <c r="R72" s="83">
        <f t="shared" si="61"/>
        <v>0</v>
      </c>
      <c r="S72" s="83">
        <f t="shared" si="61"/>
        <v>0</v>
      </c>
      <c r="T72" s="83">
        <f t="shared" si="61"/>
        <v>0</v>
      </c>
      <c r="U72" s="83">
        <f t="shared" si="61"/>
        <v>0</v>
      </c>
      <c r="V72" s="83">
        <f t="shared" si="61"/>
        <v>0</v>
      </c>
      <c r="W72" s="35"/>
    </row>
    <row r="73" spans="2:23" x14ac:dyDescent="0.35">
      <c r="B73" s="34"/>
      <c r="C73" s="19"/>
      <c r="D73" s="19"/>
      <c r="E73" s="19"/>
      <c r="F73" s="19"/>
      <c r="G73" s="19"/>
      <c r="H73" s="83"/>
      <c r="I73" s="83"/>
      <c r="J73" s="83"/>
      <c r="K73" s="83"/>
      <c r="L73" s="83"/>
      <c r="M73" s="83"/>
      <c r="N73" s="83"/>
      <c r="O73" s="83"/>
      <c r="P73" s="83"/>
      <c r="Q73" s="83"/>
      <c r="R73" s="83"/>
      <c r="S73" s="83"/>
      <c r="T73" s="83"/>
      <c r="U73" s="83"/>
      <c r="V73" s="83"/>
      <c r="W73" s="35"/>
    </row>
    <row r="74" spans="2:23" x14ac:dyDescent="0.35">
      <c r="B74" s="34"/>
      <c r="C74" s="19"/>
      <c r="D74" s="19" t="s">
        <v>47</v>
      </c>
      <c r="E74" s="19"/>
      <c r="F74" s="19"/>
      <c r="G74" s="19"/>
      <c r="H74" s="83">
        <f>SUM(H70:H72)</f>
        <v>155000</v>
      </c>
      <c r="I74" s="83">
        <f t="shared" ref="I74:V74" si="62">SUM(I70:I72)</f>
        <v>155000</v>
      </c>
      <c r="J74" s="83">
        <f t="shared" si="62"/>
        <v>155000</v>
      </c>
      <c r="K74" s="83">
        <f t="shared" si="62"/>
        <v>155000</v>
      </c>
      <c r="L74" s="83">
        <f t="shared" si="62"/>
        <v>155000</v>
      </c>
      <c r="M74" s="83">
        <f t="shared" si="62"/>
        <v>155000</v>
      </c>
      <c r="N74" s="83">
        <f t="shared" si="62"/>
        <v>155000</v>
      </c>
      <c r="O74" s="83">
        <f t="shared" si="62"/>
        <v>155000</v>
      </c>
      <c r="P74" s="83">
        <f t="shared" si="62"/>
        <v>0</v>
      </c>
      <c r="Q74" s="83">
        <f t="shared" si="62"/>
        <v>0</v>
      </c>
      <c r="R74" s="83">
        <f t="shared" si="62"/>
        <v>0</v>
      </c>
      <c r="S74" s="83">
        <f t="shared" si="62"/>
        <v>0</v>
      </c>
      <c r="T74" s="83">
        <f t="shared" si="62"/>
        <v>0</v>
      </c>
      <c r="U74" s="83">
        <f t="shared" si="62"/>
        <v>0</v>
      </c>
      <c r="V74" s="83">
        <f t="shared" si="62"/>
        <v>0</v>
      </c>
      <c r="W74" s="35"/>
    </row>
    <row r="75" spans="2:23" x14ac:dyDescent="0.35">
      <c r="B75" s="34"/>
      <c r="C75" s="19"/>
      <c r="D75" s="19"/>
      <c r="E75" s="19"/>
      <c r="F75" s="19"/>
      <c r="G75" s="19"/>
      <c r="H75" s="19"/>
      <c r="I75" s="19"/>
      <c r="J75" s="19"/>
      <c r="K75" s="19"/>
      <c r="L75" s="19"/>
      <c r="M75" s="19"/>
      <c r="N75" s="19"/>
      <c r="O75" s="19"/>
      <c r="P75" s="19"/>
      <c r="Q75" s="19"/>
      <c r="R75" s="19"/>
      <c r="S75" s="19"/>
      <c r="T75" s="19"/>
      <c r="U75" s="19"/>
      <c r="V75" s="19"/>
      <c r="W75" s="35"/>
    </row>
    <row r="76" spans="2:23" x14ac:dyDescent="0.35">
      <c r="B76" s="34"/>
      <c r="C76" s="19"/>
      <c r="D76" s="19" t="s">
        <v>48</v>
      </c>
      <c r="E76" s="19"/>
      <c r="F76" s="19"/>
      <c r="G76" s="19"/>
      <c r="H76" s="83">
        <f>SUM(H74,H67)</f>
        <v>265000</v>
      </c>
      <c r="I76" s="83">
        <f t="shared" ref="I76:V76" si="63">SUM(I74,I67)</f>
        <v>265000</v>
      </c>
      <c r="J76" s="83">
        <f t="shared" si="63"/>
        <v>265000</v>
      </c>
      <c r="K76" s="83">
        <f t="shared" si="63"/>
        <v>265000</v>
      </c>
      <c r="L76" s="83">
        <f t="shared" si="63"/>
        <v>265000</v>
      </c>
      <c r="M76" s="83">
        <f t="shared" si="63"/>
        <v>265000</v>
      </c>
      <c r="N76" s="83">
        <f t="shared" si="63"/>
        <v>265000</v>
      </c>
      <c r="O76" s="83">
        <f t="shared" si="63"/>
        <v>185000</v>
      </c>
      <c r="P76" s="83">
        <f t="shared" si="63"/>
        <v>0</v>
      </c>
      <c r="Q76" s="83">
        <f t="shared" si="63"/>
        <v>0</v>
      </c>
      <c r="R76" s="83">
        <f t="shared" si="63"/>
        <v>0</v>
      </c>
      <c r="S76" s="83">
        <f t="shared" si="63"/>
        <v>0</v>
      </c>
      <c r="T76" s="83">
        <f t="shared" si="63"/>
        <v>0</v>
      </c>
      <c r="U76" s="83">
        <f t="shared" si="63"/>
        <v>0</v>
      </c>
      <c r="V76" s="83">
        <f t="shared" si="63"/>
        <v>0</v>
      </c>
      <c r="W76" s="35"/>
    </row>
    <row r="77" spans="2:23" x14ac:dyDescent="0.35">
      <c r="B77" s="34"/>
      <c r="C77" s="19"/>
      <c r="D77" s="19"/>
      <c r="E77" s="19"/>
      <c r="F77" s="19"/>
      <c r="G77" s="19"/>
      <c r="H77" s="19"/>
      <c r="I77" s="19"/>
      <c r="J77" s="19"/>
      <c r="K77" s="19"/>
      <c r="L77" s="19"/>
      <c r="M77" s="19"/>
      <c r="N77" s="19"/>
      <c r="O77" s="19"/>
      <c r="P77" s="19"/>
      <c r="Q77" s="19"/>
      <c r="R77" s="19"/>
      <c r="S77" s="19"/>
      <c r="T77" s="19"/>
      <c r="U77" s="19"/>
      <c r="V77" s="19"/>
      <c r="W77" s="35"/>
    </row>
    <row r="78" spans="2:23" x14ac:dyDescent="0.35">
      <c r="B78" s="34"/>
      <c r="C78" s="19" t="s">
        <v>23</v>
      </c>
      <c r="D78" s="19"/>
      <c r="E78" s="19"/>
      <c r="F78" s="19"/>
      <c r="G78" s="19"/>
      <c r="H78" s="19"/>
      <c r="I78" s="19"/>
      <c r="J78" s="19"/>
      <c r="K78" s="19"/>
      <c r="L78" s="19"/>
      <c r="M78" s="19"/>
      <c r="N78" s="19"/>
      <c r="O78" s="19"/>
      <c r="P78" s="19"/>
      <c r="Q78" s="19"/>
      <c r="R78" s="19"/>
      <c r="S78" s="19"/>
      <c r="T78" s="19"/>
      <c r="U78" s="19"/>
      <c r="V78" s="19"/>
      <c r="W78" s="35"/>
    </row>
    <row r="79" spans="2:23" x14ac:dyDescent="0.35">
      <c r="B79" s="34"/>
      <c r="C79" s="19"/>
      <c r="D79" s="19" t="s">
        <v>44</v>
      </c>
      <c r="E79" s="19"/>
      <c r="F79" s="19" t="s">
        <v>42</v>
      </c>
      <c r="G79" s="19"/>
      <c r="H79" s="19"/>
      <c r="I79" s="19"/>
      <c r="J79" s="19"/>
      <c r="K79" s="19"/>
      <c r="L79" s="19"/>
      <c r="M79" s="19"/>
      <c r="N79" s="19"/>
      <c r="O79" s="19"/>
      <c r="P79" s="19"/>
      <c r="Q79" s="19"/>
      <c r="R79" s="19"/>
      <c r="S79" s="19"/>
      <c r="T79" s="19"/>
      <c r="U79" s="19"/>
      <c r="V79" s="19"/>
      <c r="W79" s="35"/>
    </row>
    <row r="80" spans="2:23" x14ac:dyDescent="0.35">
      <c r="B80" s="34"/>
      <c r="C80" s="19"/>
      <c r="D80" s="19"/>
      <c r="E80" s="19" t="s">
        <v>33</v>
      </c>
      <c r="F80" s="84">
        <f>'Estimates and Assumptions'!D33</f>
        <v>20</v>
      </c>
      <c r="G80" s="19"/>
      <c r="H80" s="83">
        <f>$F$80*H20</f>
        <v>25000</v>
      </c>
      <c r="I80" s="83">
        <f t="shared" ref="I80:V80" si="64">$F$80*I20</f>
        <v>25000</v>
      </c>
      <c r="J80" s="83">
        <f t="shared" si="64"/>
        <v>25000</v>
      </c>
      <c r="K80" s="83">
        <f t="shared" si="64"/>
        <v>25000</v>
      </c>
      <c r="L80" s="83">
        <f t="shared" si="64"/>
        <v>25000</v>
      </c>
      <c r="M80" s="83">
        <f t="shared" si="64"/>
        <v>25000</v>
      </c>
      <c r="N80" s="83">
        <f t="shared" si="64"/>
        <v>25000</v>
      </c>
      <c r="O80" s="83">
        <f t="shared" si="64"/>
        <v>25000</v>
      </c>
      <c r="P80" s="83">
        <f t="shared" si="64"/>
        <v>25000</v>
      </c>
      <c r="Q80" s="83">
        <f t="shared" si="64"/>
        <v>25000</v>
      </c>
      <c r="R80" s="83">
        <f t="shared" si="64"/>
        <v>25000</v>
      </c>
      <c r="S80" s="83">
        <f t="shared" si="64"/>
        <v>25000</v>
      </c>
      <c r="T80" s="83">
        <f t="shared" si="64"/>
        <v>0</v>
      </c>
      <c r="U80" s="83">
        <f t="shared" si="64"/>
        <v>0</v>
      </c>
      <c r="V80" s="83">
        <f t="shared" si="64"/>
        <v>0</v>
      </c>
      <c r="W80" s="35"/>
    </row>
    <row r="81" spans="2:23" x14ac:dyDescent="0.35">
      <c r="B81" s="34"/>
      <c r="C81" s="19"/>
      <c r="D81" s="19"/>
      <c r="E81" s="19" t="s">
        <v>34</v>
      </c>
      <c r="F81" s="84">
        <f>'Estimates and Assumptions'!E33</f>
        <v>50</v>
      </c>
      <c r="G81" s="19"/>
      <c r="H81" s="83">
        <f>$F$81*H20</f>
        <v>62500</v>
      </c>
      <c r="I81" s="83">
        <f t="shared" ref="I81:V81" si="65">$F$81*I20</f>
        <v>62500</v>
      </c>
      <c r="J81" s="83">
        <f t="shared" si="65"/>
        <v>62500</v>
      </c>
      <c r="K81" s="83">
        <f t="shared" si="65"/>
        <v>62500</v>
      </c>
      <c r="L81" s="83">
        <f t="shared" si="65"/>
        <v>62500</v>
      </c>
      <c r="M81" s="83">
        <f t="shared" si="65"/>
        <v>62500</v>
      </c>
      <c r="N81" s="83">
        <f t="shared" si="65"/>
        <v>62500</v>
      </c>
      <c r="O81" s="83">
        <f t="shared" si="65"/>
        <v>62500</v>
      </c>
      <c r="P81" s="83">
        <f t="shared" si="65"/>
        <v>62500</v>
      </c>
      <c r="Q81" s="83">
        <f t="shared" si="65"/>
        <v>62500</v>
      </c>
      <c r="R81" s="83">
        <f t="shared" si="65"/>
        <v>62500</v>
      </c>
      <c r="S81" s="83">
        <f t="shared" si="65"/>
        <v>62500</v>
      </c>
      <c r="T81" s="83">
        <f t="shared" si="65"/>
        <v>0</v>
      </c>
      <c r="U81" s="83">
        <f t="shared" si="65"/>
        <v>0</v>
      </c>
      <c r="V81" s="83">
        <f t="shared" si="65"/>
        <v>0</v>
      </c>
      <c r="W81" s="35"/>
    </row>
    <row r="82" spans="2:23" x14ac:dyDescent="0.35">
      <c r="B82" s="34"/>
      <c r="C82" s="19"/>
      <c r="D82" s="19"/>
      <c r="E82" s="19" t="s">
        <v>35</v>
      </c>
      <c r="F82" s="84">
        <f>'Estimates and Assumptions'!F33</f>
        <v>25</v>
      </c>
      <c r="G82" s="19"/>
      <c r="H82" s="83">
        <f>$F$82*H20</f>
        <v>31250</v>
      </c>
      <c r="I82" s="83">
        <f t="shared" ref="I82:V82" si="66">$F$82*I20</f>
        <v>31250</v>
      </c>
      <c r="J82" s="83">
        <f t="shared" si="66"/>
        <v>31250</v>
      </c>
      <c r="K82" s="83">
        <f t="shared" si="66"/>
        <v>31250</v>
      </c>
      <c r="L82" s="83">
        <f t="shared" si="66"/>
        <v>31250</v>
      </c>
      <c r="M82" s="83">
        <f t="shared" si="66"/>
        <v>31250</v>
      </c>
      <c r="N82" s="83">
        <f t="shared" si="66"/>
        <v>31250</v>
      </c>
      <c r="O82" s="83">
        <f t="shared" si="66"/>
        <v>31250</v>
      </c>
      <c r="P82" s="83">
        <f t="shared" si="66"/>
        <v>31250</v>
      </c>
      <c r="Q82" s="83">
        <f t="shared" si="66"/>
        <v>31250</v>
      </c>
      <c r="R82" s="83">
        <f t="shared" si="66"/>
        <v>31250</v>
      </c>
      <c r="S82" s="83">
        <f t="shared" si="66"/>
        <v>31250</v>
      </c>
      <c r="T82" s="83">
        <f t="shared" si="66"/>
        <v>0</v>
      </c>
      <c r="U82" s="83">
        <f t="shared" si="66"/>
        <v>0</v>
      </c>
      <c r="V82" s="83">
        <f t="shared" si="66"/>
        <v>0</v>
      </c>
      <c r="W82" s="35"/>
    </row>
    <row r="83" spans="2:23" x14ac:dyDescent="0.35">
      <c r="B83" s="34"/>
      <c r="C83" s="19"/>
      <c r="D83" s="19"/>
      <c r="E83" s="19"/>
      <c r="F83" s="19"/>
      <c r="G83" s="19"/>
      <c r="H83" s="83"/>
      <c r="I83" s="83"/>
      <c r="J83" s="19"/>
      <c r="K83" s="19"/>
      <c r="L83" s="19"/>
      <c r="M83" s="19"/>
      <c r="N83" s="19"/>
      <c r="O83" s="19"/>
      <c r="P83" s="19"/>
      <c r="Q83" s="19"/>
      <c r="R83" s="19"/>
      <c r="S83" s="19"/>
      <c r="T83" s="19"/>
      <c r="U83" s="19"/>
      <c r="V83" s="19"/>
      <c r="W83" s="35"/>
    </row>
    <row r="84" spans="2:23" x14ac:dyDescent="0.35">
      <c r="B84" s="34"/>
      <c r="C84" s="19"/>
      <c r="D84" s="19" t="s">
        <v>43</v>
      </c>
      <c r="E84" s="19"/>
      <c r="F84" s="19"/>
      <c r="G84" s="19"/>
      <c r="H84" s="83">
        <f>SUM(H80:H82)</f>
        <v>118750</v>
      </c>
      <c r="I84" s="83">
        <f t="shared" ref="I84:V84" si="67">SUM(I80:I82)</f>
        <v>118750</v>
      </c>
      <c r="J84" s="83">
        <f t="shared" si="67"/>
        <v>118750</v>
      </c>
      <c r="K84" s="83">
        <f t="shared" si="67"/>
        <v>118750</v>
      </c>
      <c r="L84" s="83">
        <f t="shared" si="67"/>
        <v>118750</v>
      </c>
      <c r="M84" s="83">
        <f t="shared" si="67"/>
        <v>118750</v>
      </c>
      <c r="N84" s="83">
        <f t="shared" si="67"/>
        <v>118750</v>
      </c>
      <c r="O84" s="83">
        <f t="shared" si="67"/>
        <v>118750</v>
      </c>
      <c r="P84" s="83">
        <f t="shared" si="67"/>
        <v>118750</v>
      </c>
      <c r="Q84" s="83">
        <f t="shared" si="67"/>
        <v>118750</v>
      </c>
      <c r="R84" s="83">
        <f t="shared" si="67"/>
        <v>118750</v>
      </c>
      <c r="S84" s="83">
        <f t="shared" si="67"/>
        <v>118750</v>
      </c>
      <c r="T84" s="83">
        <f t="shared" si="67"/>
        <v>0</v>
      </c>
      <c r="U84" s="83">
        <f t="shared" si="67"/>
        <v>0</v>
      </c>
      <c r="V84" s="83">
        <f t="shared" si="67"/>
        <v>0</v>
      </c>
      <c r="W84" s="35"/>
    </row>
    <row r="85" spans="2:23" x14ac:dyDescent="0.35">
      <c r="B85" s="34"/>
      <c r="C85" s="19"/>
      <c r="D85" s="19"/>
      <c r="E85" s="19"/>
      <c r="F85" s="19"/>
      <c r="G85" s="19"/>
      <c r="H85" s="83"/>
      <c r="I85" s="83"/>
      <c r="J85" s="83"/>
      <c r="K85" s="83"/>
      <c r="L85" s="83"/>
      <c r="M85" s="83"/>
      <c r="N85" s="83"/>
      <c r="O85" s="83"/>
      <c r="P85" s="83"/>
      <c r="Q85" s="83"/>
      <c r="R85" s="83"/>
      <c r="S85" s="83"/>
      <c r="T85" s="83"/>
      <c r="U85" s="83"/>
      <c r="V85" s="83"/>
      <c r="W85" s="35"/>
    </row>
    <row r="86" spans="2:23" x14ac:dyDescent="0.35">
      <c r="B86" s="34"/>
      <c r="C86" s="19"/>
      <c r="D86" s="19" t="s">
        <v>37</v>
      </c>
      <c r="E86" s="19"/>
      <c r="F86" s="19"/>
      <c r="G86" s="19"/>
      <c r="H86" s="83"/>
      <c r="I86" s="83"/>
      <c r="J86" s="83"/>
      <c r="K86" s="83"/>
      <c r="L86" s="83"/>
      <c r="M86" s="83"/>
      <c r="N86" s="83"/>
      <c r="O86" s="83"/>
      <c r="P86" s="83"/>
      <c r="Q86" s="83"/>
      <c r="R86" s="83"/>
      <c r="S86" s="83"/>
      <c r="T86" s="83"/>
      <c r="U86" s="83"/>
      <c r="V86" s="83"/>
      <c r="W86" s="35"/>
    </row>
    <row r="87" spans="2:23" x14ac:dyDescent="0.35">
      <c r="B87" s="34"/>
      <c r="C87" s="19"/>
      <c r="D87" s="19"/>
      <c r="E87" s="19" t="s">
        <v>45</v>
      </c>
      <c r="F87" s="85">
        <f>'Estimates and Assumptions'!G33</f>
        <v>150000</v>
      </c>
      <c r="G87" s="19"/>
      <c r="H87" s="83">
        <f>IF(H20&gt;0,$F$87,0)</f>
        <v>150000</v>
      </c>
      <c r="I87" s="83">
        <f t="shared" ref="I87:V87" si="68">IF(I20&gt;0,$F$87,0)</f>
        <v>150000</v>
      </c>
      <c r="J87" s="83">
        <f t="shared" si="68"/>
        <v>150000</v>
      </c>
      <c r="K87" s="83">
        <f t="shared" si="68"/>
        <v>150000</v>
      </c>
      <c r="L87" s="83">
        <f t="shared" si="68"/>
        <v>150000</v>
      </c>
      <c r="M87" s="83">
        <f t="shared" si="68"/>
        <v>150000</v>
      </c>
      <c r="N87" s="83">
        <f t="shared" si="68"/>
        <v>150000</v>
      </c>
      <c r="O87" s="83">
        <f t="shared" si="68"/>
        <v>150000</v>
      </c>
      <c r="P87" s="83">
        <f t="shared" si="68"/>
        <v>150000</v>
      </c>
      <c r="Q87" s="83">
        <f t="shared" si="68"/>
        <v>150000</v>
      </c>
      <c r="R87" s="83">
        <f t="shared" si="68"/>
        <v>150000</v>
      </c>
      <c r="S87" s="83">
        <f t="shared" si="68"/>
        <v>150000</v>
      </c>
      <c r="T87" s="83">
        <f t="shared" si="68"/>
        <v>0</v>
      </c>
      <c r="U87" s="83">
        <f t="shared" si="68"/>
        <v>0</v>
      </c>
      <c r="V87" s="83">
        <f t="shared" si="68"/>
        <v>0</v>
      </c>
      <c r="W87" s="35"/>
    </row>
    <row r="88" spans="2:23" x14ac:dyDescent="0.35">
      <c r="B88" s="34"/>
      <c r="C88" s="19"/>
      <c r="D88" s="19"/>
      <c r="E88" s="19" t="s">
        <v>46</v>
      </c>
      <c r="F88" s="85">
        <f>'Estimates and Assumptions'!H33</f>
        <v>50000</v>
      </c>
      <c r="G88" s="19"/>
      <c r="H88" s="83">
        <f>IF(H20&gt;0,$F$88,0)</f>
        <v>50000</v>
      </c>
      <c r="I88" s="83">
        <f t="shared" ref="I88:V88" si="69">IF(I20&gt;0,$F$88,0)</f>
        <v>50000</v>
      </c>
      <c r="J88" s="83">
        <f t="shared" si="69"/>
        <v>50000</v>
      </c>
      <c r="K88" s="83">
        <f t="shared" si="69"/>
        <v>50000</v>
      </c>
      <c r="L88" s="83">
        <f t="shared" si="69"/>
        <v>50000</v>
      </c>
      <c r="M88" s="83">
        <f t="shared" si="69"/>
        <v>50000</v>
      </c>
      <c r="N88" s="83">
        <f t="shared" si="69"/>
        <v>50000</v>
      </c>
      <c r="O88" s="83">
        <f t="shared" si="69"/>
        <v>50000</v>
      </c>
      <c r="P88" s="83">
        <f t="shared" si="69"/>
        <v>50000</v>
      </c>
      <c r="Q88" s="83">
        <f t="shared" si="69"/>
        <v>50000</v>
      </c>
      <c r="R88" s="83">
        <f t="shared" si="69"/>
        <v>50000</v>
      </c>
      <c r="S88" s="83">
        <f t="shared" si="69"/>
        <v>50000</v>
      </c>
      <c r="T88" s="83">
        <f t="shared" si="69"/>
        <v>0</v>
      </c>
      <c r="U88" s="83">
        <f t="shared" si="69"/>
        <v>0</v>
      </c>
      <c r="V88" s="83">
        <f t="shared" si="69"/>
        <v>0</v>
      </c>
      <c r="W88" s="35"/>
    </row>
    <row r="89" spans="2:23" x14ac:dyDescent="0.35">
      <c r="B89" s="34"/>
      <c r="C89" s="19"/>
      <c r="D89" s="19"/>
      <c r="E89" s="19" t="s">
        <v>40</v>
      </c>
      <c r="F89" s="85">
        <f>'Estimates and Assumptions'!I33</f>
        <v>30000</v>
      </c>
      <c r="G89" s="19"/>
      <c r="H89" s="83">
        <f>IF(H20&gt;0,$F$89,0)</f>
        <v>30000</v>
      </c>
      <c r="I89" s="83">
        <f t="shared" ref="I89:V89" si="70">IF(I20&gt;0,$F$89,0)</f>
        <v>30000</v>
      </c>
      <c r="J89" s="83">
        <f t="shared" si="70"/>
        <v>30000</v>
      </c>
      <c r="K89" s="83">
        <f t="shared" si="70"/>
        <v>30000</v>
      </c>
      <c r="L89" s="83">
        <f t="shared" si="70"/>
        <v>30000</v>
      </c>
      <c r="M89" s="83">
        <f t="shared" si="70"/>
        <v>30000</v>
      </c>
      <c r="N89" s="83">
        <f t="shared" si="70"/>
        <v>30000</v>
      </c>
      <c r="O89" s="83">
        <f t="shared" si="70"/>
        <v>30000</v>
      </c>
      <c r="P89" s="83">
        <f t="shared" si="70"/>
        <v>30000</v>
      </c>
      <c r="Q89" s="83">
        <f t="shared" si="70"/>
        <v>30000</v>
      </c>
      <c r="R89" s="83">
        <f t="shared" si="70"/>
        <v>30000</v>
      </c>
      <c r="S89" s="83">
        <f t="shared" si="70"/>
        <v>30000</v>
      </c>
      <c r="T89" s="83">
        <f t="shared" si="70"/>
        <v>0</v>
      </c>
      <c r="U89" s="83">
        <f t="shared" si="70"/>
        <v>0</v>
      </c>
      <c r="V89" s="83">
        <f t="shared" si="70"/>
        <v>0</v>
      </c>
      <c r="W89" s="35"/>
    </row>
    <row r="90" spans="2:23" x14ac:dyDescent="0.35">
      <c r="B90" s="34"/>
      <c r="C90" s="19"/>
      <c r="D90" s="19"/>
      <c r="E90" s="19"/>
      <c r="F90" s="19"/>
      <c r="G90" s="19"/>
      <c r="H90" s="83"/>
      <c r="I90" s="83"/>
      <c r="J90" s="83"/>
      <c r="K90" s="83"/>
      <c r="L90" s="83"/>
      <c r="M90" s="83"/>
      <c r="N90" s="83"/>
      <c r="O90" s="83"/>
      <c r="P90" s="83"/>
      <c r="Q90" s="83"/>
      <c r="R90" s="83"/>
      <c r="S90" s="83"/>
      <c r="T90" s="83"/>
      <c r="U90" s="83"/>
      <c r="V90" s="83"/>
      <c r="W90" s="35"/>
    </row>
    <row r="91" spans="2:23" x14ac:dyDescent="0.35">
      <c r="B91" s="34"/>
      <c r="C91" s="19"/>
      <c r="D91" s="19" t="s">
        <v>47</v>
      </c>
      <c r="E91" s="19"/>
      <c r="F91" s="19"/>
      <c r="G91" s="19"/>
      <c r="H91" s="83">
        <f>SUM(H87:H89)</f>
        <v>230000</v>
      </c>
      <c r="I91" s="83">
        <f t="shared" ref="I91:V91" si="71">SUM(I87:I89)</f>
        <v>230000</v>
      </c>
      <c r="J91" s="83">
        <f t="shared" si="71"/>
        <v>230000</v>
      </c>
      <c r="K91" s="83">
        <f t="shared" si="71"/>
        <v>230000</v>
      </c>
      <c r="L91" s="83">
        <f t="shared" si="71"/>
        <v>230000</v>
      </c>
      <c r="M91" s="83">
        <f t="shared" si="71"/>
        <v>230000</v>
      </c>
      <c r="N91" s="83">
        <f t="shared" si="71"/>
        <v>230000</v>
      </c>
      <c r="O91" s="83">
        <f t="shared" si="71"/>
        <v>230000</v>
      </c>
      <c r="P91" s="83">
        <f t="shared" si="71"/>
        <v>230000</v>
      </c>
      <c r="Q91" s="83">
        <f t="shared" si="71"/>
        <v>230000</v>
      </c>
      <c r="R91" s="83">
        <f t="shared" si="71"/>
        <v>230000</v>
      </c>
      <c r="S91" s="83">
        <f t="shared" si="71"/>
        <v>230000</v>
      </c>
      <c r="T91" s="83">
        <f t="shared" si="71"/>
        <v>0</v>
      </c>
      <c r="U91" s="83">
        <f t="shared" si="71"/>
        <v>0</v>
      </c>
      <c r="V91" s="83">
        <f t="shared" si="71"/>
        <v>0</v>
      </c>
      <c r="W91" s="35"/>
    </row>
    <row r="92" spans="2:23" x14ac:dyDescent="0.35">
      <c r="B92" s="34"/>
      <c r="C92" s="19"/>
      <c r="D92" s="19"/>
      <c r="E92" s="19"/>
      <c r="F92" s="19"/>
      <c r="G92" s="19"/>
      <c r="H92" s="83"/>
      <c r="I92" s="83"/>
      <c r="J92" s="83"/>
      <c r="K92" s="83"/>
      <c r="L92" s="83"/>
      <c r="M92" s="83"/>
      <c r="N92" s="83"/>
      <c r="O92" s="83"/>
      <c r="P92" s="83"/>
      <c r="Q92" s="83"/>
      <c r="R92" s="83"/>
      <c r="S92" s="83"/>
      <c r="T92" s="83"/>
      <c r="U92" s="83"/>
      <c r="V92" s="83"/>
      <c r="W92" s="35"/>
    </row>
    <row r="93" spans="2:23" x14ac:dyDescent="0.35">
      <c r="B93" s="34"/>
      <c r="C93" s="19"/>
      <c r="D93" s="19" t="s">
        <v>48</v>
      </c>
      <c r="E93" s="19"/>
      <c r="F93" s="19"/>
      <c r="G93" s="19"/>
      <c r="H93" s="83">
        <f>SUM(H91,H84)</f>
        <v>348750</v>
      </c>
      <c r="I93" s="83">
        <f t="shared" ref="I93:V93" si="72">SUM(I91,I84)</f>
        <v>348750</v>
      </c>
      <c r="J93" s="83">
        <f t="shared" si="72"/>
        <v>348750</v>
      </c>
      <c r="K93" s="83">
        <f t="shared" si="72"/>
        <v>348750</v>
      </c>
      <c r="L93" s="83">
        <f t="shared" si="72"/>
        <v>348750</v>
      </c>
      <c r="M93" s="83">
        <f t="shared" si="72"/>
        <v>348750</v>
      </c>
      <c r="N93" s="83">
        <f t="shared" si="72"/>
        <v>348750</v>
      </c>
      <c r="O93" s="83">
        <f t="shared" si="72"/>
        <v>348750</v>
      </c>
      <c r="P93" s="83">
        <f t="shared" si="72"/>
        <v>348750</v>
      </c>
      <c r="Q93" s="83">
        <f t="shared" si="72"/>
        <v>348750</v>
      </c>
      <c r="R93" s="83">
        <f t="shared" si="72"/>
        <v>348750</v>
      </c>
      <c r="S93" s="83">
        <f t="shared" si="72"/>
        <v>348750</v>
      </c>
      <c r="T93" s="83">
        <f t="shared" si="72"/>
        <v>0</v>
      </c>
      <c r="U93" s="83">
        <f t="shared" si="72"/>
        <v>0</v>
      </c>
      <c r="V93" s="83">
        <f t="shared" si="72"/>
        <v>0</v>
      </c>
      <c r="W93" s="35"/>
    </row>
    <row r="94" spans="2:23" x14ac:dyDescent="0.35">
      <c r="B94" s="34"/>
      <c r="C94" s="19"/>
      <c r="D94" s="19"/>
      <c r="E94" s="19"/>
      <c r="F94" s="19"/>
      <c r="G94" s="19"/>
      <c r="H94" s="19"/>
      <c r="I94" s="19"/>
      <c r="J94" s="19"/>
      <c r="K94" s="19"/>
      <c r="L94" s="19"/>
      <c r="M94" s="19"/>
      <c r="N94" s="19"/>
      <c r="O94" s="19"/>
      <c r="P94" s="19"/>
      <c r="Q94" s="19"/>
      <c r="R94" s="19"/>
      <c r="S94" s="19"/>
      <c r="T94" s="19"/>
      <c r="U94" s="19"/>
      <c r="V94" s="19"/>
      <c r="W94" s="35"/>
    </row>
    <row r="95" spans="2:23" x14ac:dyDescent="0.35">
      <c r="B95" s="34"/>
      <c r="C95" s="19" t="s">
        <v>24</v>
      </c>
      <c r="D95" s="19"/>
      <c r="E95" s="19"/>
      <c r="F95" s="19"/>
      <c r="G95" s="19"/>
      <c r="H95" s="19"/>
      <c r="I95" s="19"/>
      <c r="J95" s="19"/>
      <c r="K95" s="19"/>
      <c r="L95" s="19"/>
      <c r="M95" s="19"/>
      <c r="N95" s="19"/>
      <c r="O95" s="19"/>
      <c r="P95" s="19"/>
      <c r="Q95" s="19"/>
      <c r="R95" s="19"/>
      <c r="S95" s="19"/>
      <c r="T95" s="19"/>
      <c r="U95" s="19"/>
      <c r="V95" s="19"/>
      <c r="W95" s="35"/>
    </row>
    <row r="96" spans="2:23" x14ac:dyDescent="0.35">
      <c r="B96" s="34"/>
      <c r="C96" s="19"/>
      <c r="D96" s="19" t="s">
        <v>44</v>
      </c>
      <c r="E96" s="19"/>
      <c r="F96" s="19" t="s">
        <v>42</v>
      </c>
      <c r="G96" s="19"/>
      <c r="H96" s="19"/>
      <c r="I96" s="19"/>
      <c r="J96" s="19"/>
      <c r="K96" s="19"/>
      <c r="L96" s="19"/>
      <c r="M96" s="19"/>
      <c r="N96" s="19"/>
      <c r="O96" s="19"/>
      <c r="P96" s="19"/>
      <c r="Q96" s="19"/>
      <c r="R96" s="19"/>
      <c r="S96" s="19"/>
      <c r="T96" s="19"/>
      <c r="U96" s="19"/>
      <c r="V96" s="19"/>
      <c r="W96" s="35"/>
    </row>
    <row r="97" spans="2:23" x14ac:dyDescent="0.35">
      <c r="B97" s="34"/>
      <c r="C97" s="19"/>
      <c r="D97" s="19"/>
      <c r="E97" s="19" t="s">
        <v>33</v>
      </c>
      <c r="F97" s="84">
        <f>'Estimates and Assumptions'!D34</f>
        <v>15</v>
      </c>
      <c r="G97" s="19"/>
      <c r="H97" s="83">
        <f>$F$97*H31</f>
        <v>22500</v>
      </c>
      <c r="I97" s="83">
        <f t="shared" ref="I97:V97" si="73">$F$97*I31</f>
        <v>22500</v>
      </c>
      <c r="J97" s="83">
        <f t="shared" si="73"/>
        <v>22500</v>
      </c>
      <c r="K97" s="83">
        <f t="shared" si="73"/>
        <v>22500</v>
      </c>
      <c r="L97" s="83">
        <f t="shared" si="73"/>
        <v>22500</v>
      </c>
      <c r="M97" s="83">
        <f t="shared" si="73"/>
        <v>22500</v>
      </c>
      <c r="N97" s="83">
        <f t="shared" si="73"/>
        <v>22500</v>
      </c>
      <c r="O97" s="83">
        <f t="shared" si="73"/>
        <v>22500</v>
      </c>
      <c r="P97" s="83">
        <f t="shared" si="73"/>
        <v>22500</v>
      </c>
      <c r="Q97" s="83">
        <f t="shared" si="73"/>
        <v>22500</v>
      </c>
      <c r="R97" s="83">
        <f t="shared" si="73"/>
        <v>22500</v>
      </c>
      <c r="S97" s="83">
        <f t="shared" si="73"/>
        <v>22500</v>
      </c>
      <c r="T97" s="83">
        <f t="shared" si="73"/>
        <v>22500</v>
      </c>
      <c r="U97" s="83">
        <f t="shared" si="73"/>
        <v>7500</v>
      </c>
      <c r="V97" s="83">
        <f t="shared" si="73"/>
        <v>0</v>
      </c>
      <c r="W97" s="35"/>
    </row>
    <row r="98" spans="2:23" x14ac:dyDescent="0.35">
      <c r="B98" s="34"/>
      <c r="C98" s="19"/>
      <c r="D98" s="19"/>
      <c r="E98" s="19" t="s">
        <v>34</v>
      </c>
      <c r="F98" s="84">
        <f>'Estimates and Assumptions'!E34</f>
        <v>40</v>
      </c>
      <c r="G98" s="19"/>
      <c r="H98" s="83">
        <f>$F$98*H31</f>
        <v>60000</v>
      </c>
      <c r="I98" s="83">
        <f t="shared" ref="I98:V98" si="74">$F$98*I31</f>
        <v>60000</v>
      </c>
      <c r="J98" s="83">
        <f t="shared" si="74"/>
        <v>60000</v>
      </c>
      <c r="K98" s="83">
        <f t="shared" si="74"/>
        <v>60000</v>
      </c>
      <c r="L98" s="83">
        <f t="shared" si="74"/>
        <v>60000</v>
      </c>
      <c r="M98" s="83">
        <f t="shared" si="74"/>
        <v>60000</v>
      </c>
      <c r="N98" s="83">
        <f t="shared" si="74"/>
        <v>60000</v>
      </c>
      <c r="O98" s="83">
        <f t="shared" si="74"/>
        <v>60000</v>
      </c>
      <c r="P98" s="83">
        <f t="shared" si="74"/>
        <v>60000</v>
      </c>
      <c r="Q98" s="83">
        <f t="shared" si="74"/>
        <v>60000</v>
      </c>
      <c r="R98" s="83">
        <f t="shared" si="74"/>
        <v>60000</v>
      </c>
      <c r="S98" s="83">
        <f t="shared" si="74"/>
        <v>60000</v>
      </c>
      <c r="T98" s="83">
        <f t="shared" si="74"/>
        <v>60000</v>
      </c>
      <c r="U98" s="83">
        <f t="shared" si="74"/>
        <v>20000</v>
      </c>
      <c r="V98" s="83">
        <f t="shared" si="74"/>
        <v>0</v>
      </c>
      <c r="W98" s="35"/>
    </row>
    <row r="99" spans="2:23" x14ac:dyDescent="0.35">
      <c r="B99" s="34"/>
      <c r="C99" s="19"/>
      <c r="D99" s="19"/>
      <c r="E99" s="19" t="s">
        <v>35</v>
      </c>
      <c r="F99" s="84">
        <f>'Estimates and Assumptions'!F34</f>
        <v>30</v>
      </c>
      <c r="G99" s="19"/>
      <c r="H99" s="83">
        <f>$F$99*H31</f>
        <v>45000</v>
      </c>
      <c r="I99" s="83">
        <f t="shared" ref="I99:V99" si="75">$F$99*I31</f>
        <v>45000</v>
      </c>
      <c r="J99" s="83">
        <f t="shared" si="75"/>
        <v>45000</v>
      </c>
      <c r="K99" s="83">
        <f t="shared" si="75"/>
        <v>45000</v>
      </c>
      <c r="L99" s="83">
        <f t="shared" si="75"/>
        <v>45000</v>
      </c>
      <c r="M99" s="83">
        <f t="shared" si="75"/>
        <v>45000</v>
      </c>
      <c r="N99" s="83">
        <f t="shared" si="75"/>
        <v>45000</v>
      </c>
      <c r="O99" s="83">
        <f t="shared" si="75"/>
        <v>45000</v>
      </c>
      <c r="P99" s="83">
        <f t="shared" si="75"/>
        <v>45000</v>
      </c>
      <c r="Q99" s="83">
        <f t="shared" si="75"/>
        <v>45000</v>
      </c>
      <c r="R99" s="83">
        <f t="shared" si="75"/>
        <v>45000</v>
      </c>
      <c r="S99" s="83">
        <f t="shared" si="75"/>
        <v>45000</v>
      </c>
      <c r="T99" s="83">
        <f t="shared" si="75"/>
        <v>45000</v>
      </c>
      <c r="U99" s="83">
        <f t="shared" si="75"/>
        <v>15000</v>
      </c>
      <c r="V99" s="83">
        <f t="shared" si="75"/>
        <v>0</v>
      </c>
      <c r="W99" s="35"/>
    </row>
    <row r="100" spans="2:23" x14ac:dyDescent="0.35">
      <c r="B100" s="34"/>
      <c r="C100" s="19"/>
      <c r="D100" s="19"/>
      <c r="E100" s="19"/>
      <c r="F100" s="19"/>
      <c r="G100" s="19"/>
      <c r="H100" s="83"/>
      <c r="I100" s="83"/>
      <c r="J100" s="83"/>
      <c r="K100" s="83"/>
      <c r="L100" s="83"/>
      <c r="M100" s="83"/>
      <c r="N100" s="83"/>
      <c r="O100" s="83"/>
      <c r="P100" s="83"/>
      <c r="Q100" s="83"/>
      <c r="R100" s="83"/>
      <c r="S100" s="83"/>
      <c r="T100" s="83"/>
      <c r="U100" s="83"/>
      <c r="V100" s="83"/>
      <c r="W100" s="35"/>
    </row>
    <row r="101" spans="2:23" x14ac:dyDescent="0.35">
      <c r="B101" s="34"/>
      <c r="C101" s="19"/>
      <c r="D101" s="19" t="s">
        <v>43</v>
      </c>
      <c r="E101" s="19"/>
      <c r="F101" s="19"/>
      <c r="G101" s="19"/>
      <c r="H101" s="83">
        <f>SUM(H97:H99)</f>
        <v>127500</v>
      </c>
      <c r="I101" s="83">
        <f t="shared" ref="I101:V101" si="76">SUM(I97:I99)</f>
        <v>127500</v>
      </c>
      <c r="J101" s="83">
        <f t="shared" si="76"/>
        <v>127500</v>
      </c>
      <c r="K101" s="83">
        <f t="shared" si="76"/>
        <v>127500</v>
      </c>
      <c r="L101" s="83">
        <f t="shared" si="76"/>
        <v>127500</v>
      </c>
      <c r="M101" s="83">
        <f t="shared" si="76"/>
        <v>127500</v>
      </c>
      <c r="N101" s="83">
        <f t="shared" si="76"/>
        <v>127500</v>
      </c>
      <c r="O101" s="83">
        <f t="shared" si="76"/>
        <v>127500</v>
      </c>
      <c r="P101" s="83">
        <f t="shared" si="76"/>
        <v>127500</v>
      </c>
      <c r="Q101" s="83">
        <f t="shared" si="76"/>
        <v>127500</v>
      </c>
      <c r="R101" s="83">
        <f t="shared" si="76"/>
        <v>127500</v>
      </c>
      <c r="S101" s="83">
        <f t="shared" si="76"/>
        <v>127500</v>
      </c>
      <c r="T101" s="83">
        <f t="shared" si="76"/>
        <v>127500</v>
      </c>
      <c r="U101" s="83">
        <f t="shared" si="76"/>
        <v>42500</v>
      </c>
      <c r="V101" s="83">
        <f t="shared" si="76"/>
        <v>0</v>
      </c>
      <c r="W101" s="35"/>
    </row>
    <row r="102" spans="2:23" x14ac:dyDescent="0.35">
      <c r="B102" s="34"/>
      <c r="C102" s="19"/>
      <c r="D102" s="19"/>
      <c r="E102" s="19"/>
      <c r="F102" s="19"/>
      <c r="G102" s="19"/>
      <c r="H102" s="83"/>
      <c r="I102" s="83"/>
      <c r="J102" s="83"/>
      <c r="K102" s="83"/>
      <c r="L102" s="83"/>
      <c r="M102" s="83"/>
      <c r="N102" s="83"/>
      <c r="O102" s="83"/>
      <c r="P102" s="83"/>
      <c r="Q102" s="83"/>
      <c r="R102" s="83"/>
      <c r="S102" s="83"/>
      <c r="T102" s="83"/>
      <c r="U102" s="83"/>
      <c r="V102" s="83"/>
      <c r="W102" s="35"/>
    </row>
    <row r="103" spans="2:23" x14ac:dyDescent="0.35">
      <c r="B103" s="34"/>
      <c r="C103" s="19"/>
      <c r="D103" s="19" t="s">
        <v>37</v>
      </c>
      <c r="E103" s="19"/>
      <c r="F103" s="19"/>
      <c r="G103" s="19"/>
      <c r="H103" s="83"/>
      <c r="I103" s="83"/>
      <c r="J103" s="83"/>
      <c r="K103" s="83"/>
      <c r="L103" s="83"/>
      <c r="M103" s="83"/>
      <c r="N103" s="83"/>
      <c r="O103" s="83"/>
      <c r="P103" s="83"/>
      <c r="Q103" s="83"/>
      <c r="R103" s="83"/>
      <c r="S103" s="83"/>
      <c r="T103" s="83"/>
      <c r="U103" s="83"/>
      <c r="V103" s="83"/>
      <c r="W103" s="35"/>
    </row>
    <row r="104" spans="2:23" x14ac:dyDescent="0.35">
      <c r="B104" s="34"/>
      <c r="C104" s="19"/>
      <c r="D104" s="19"/>
      <c r="E104" s="19" t="s">
        <v>45</v>
      </c>
      <c r="F104" s="85">
        <f>'Estimates and Assumptions'!G34</f>
        <v>250000</v>
      </c>
      <c r="G104" s="19"/>
      <c r="H104" s="83">
        <f>IF(H31&gt;0,$F$104,0)</f>
        <v>250000</v>
      </c>
      <c r="I104" s="83">
        <f t="shared" ref="I104:V104" si="77">IF(I31&gt;0,$F$104,0)</f>
        <v>250000</v>
      </c>
      <c r="J104" s="83">
        <f t="shared" si="77"/>
        <v>250000</v>
      </c>
      <c r="K104" s="83">
        <f t="shared" si="77"/>
        <v>250000</v>
      </c>
      <c r="L104" s="83">
        <f t="shared" si="77"/>
        <v>250000</v>
      </c>
      <c r="M104" s="83">
        <f t="shared" si="77"/>
        <v>250000</v>
      </c>
      <c r="N104" s="83">
        <f t="shared" si="77"/>
        <v>250000</v>
      </c>
      <c r="O104" s="83">
        <f t="shared" si="77"/>
        <v>250000</v>
      </c>
      <c r="P104" s="83">
        <f t="shared" si="77"/>
        <v>250000</v>
      </c>
      <c r="Q104" s="83">
        <f t="shared" si="77"/>
        <v>250000</v>
      </c>
      <c r="R104" s="83">
        <f t="shared" si="77"/>
        <v>250000</v>
      </c>
      <c r="S104" s="83">
        <f t="shared" si="77"/>
        <v>250000</v>
      </c>
      <c r="T104" s="83">
        <f t="shared" si="77"/>
        <v>250000</v>
      </c>
      <c r="U104" s="83">
        <f t="shared" si="77"/>
        <v>250000</v>
      </c>
      <c r="V104" s="83">
        <f t="shared" si="77"/>
        <v>0</v>
      </c>
      <c r="W104" s="35"/>
    </row>
    <row r="105" spans="2:23" x14ac:dyDescent="0.35">
      <c r="B105" s="34"/>
      <c r="C105" s="19"/>
      <c r="D105" s="19"/>
      <c r="E105" s="19" t="s">
        <v>46</v>
      </c>
      <c r="F105" s="85">
        <f>'Estimates and Assumptions'!H34</f>
        <v>150000</v>
      </c>
      <c r="G105" s="19"/>
      <c r="H105" s="83">
        <f>IF(H31&gt;0,$F$105,0)</f>
        <v>150000</v>
      </c>
      <c r="I105" s="83">
        <f t="shared" ref="I105:V105" si="78">IF(I31&gt;0,$F$105,0)</f>
        <v>150000</v>
      </c>
      <c r="J105" s="83">
        <f t="shared" si="78"/>
        <v>150000</v>
      </c>
      <c r="K105" s="83">
        <f t="shared" si="78"/>
        <v>150000</v>
      </c>
      <c r="L105" s="83">
        <f t="shared" si="78"/>
        <v>150000</v>
      </c>
      <c r="M105" s="83">
        <f t="shared" si="78"/>
        <v>150000</v>
      </c>
      <c r="N105" s="83">
        <f t="shared" si="78"/>
        <v>150000</v>
      </c>
      <c r="O105" s="83">
        <f t="shared" si="78"/>
        <v>150000</v>
      </c>
      <c r="P105" s="83">
        <f t="shared" si="78"/>
        <v>150000</v>
      </c>
      <c r="Q105" s="83">
        <f t="shared" si="78"/>
        <v>150000</v>
      </c>
      <c r="R105" s="83">
        <f t="shared" si="78"/>
        <v>150000</v>
      </c>
      <c r="S105" s="83">
        <f t="shared" si="78"/>
        <v>150000</v>
      </c>
      <c r="T105" s="83">
        <f t="shared" si="78"/>
        <v>150000</v>
      </c>
      <c r="U105" s="83">
        <f t="shared" si="78"/>
        <v>150000</v>
      </c>
      <c r="V105" s="83">
        <f t="shared" si="78"/>
        <v>0</v>
      </c>
      <c r="W105" s="35"/>
    </row>
    <row r="106" spans="2:23" x14ac:dyDescent="0.35">
      <c r="B106" s="34"/>
      <c r="C106" s="19"/>
      <c r="D106" s="19"/>
      <c r="E106" s="19" t="s">
        <v>40</v>
      </c>
      <c r="F106" s="85">
        <f>'Estimates and Assumptions'!I34</f>
        <v>40000</v>
      </c>
      <c r="G106" s="19"/>
      <c r="H106" s="83">
        <f>IF(H31&gt;0,$F$106,0)</f>
        <v>40000</v>
      </c>
      <c r="I106" s="83">
        <f t="shared" ref="I106:V106" si="79">IF(I31&gt;0,$F$106,0)</f>
        <v>40000</v>
      </c>
      <c r="J106" s="83">
        <f t="shared" si="79"/>
        <v>40000</v>
      </c>
      <c r="K106" s="83">
        <f t="shared" si="79"/>
        <v>40000</v>
      </c>
      <c r="L106" s="83">
        <f t="shared" si="79"/>
        <v>40000</v>
      </c>
      <c r="M106" s="83">
        <f t="shared" si="79"/>
        <v>40000</v>
      </c>
      <c r="N106" s="83">
        <f t="shared" si="79"/>
        <v>40000</v>
      </c>
      <c r="O106" s="83">
        <f t="shared" si="79"/>
        <v>40000</v>
      </c>
      <c r="P106" s="83">
        <f t="shared" si="79"/>
        <v>40000</v>
      </c>
      <c r="Q106" s="83">
        <f t="shared" si="79"/>
        <v>40000</v>
      </c>
      <c r="R106" s="83">
        <f t="shared" si="79"/>
        <v>40000</v>
      </c>
      <c r="S106" s="83">
        <f t="shared" si="79"/>
        <v>40000</v>
      </c>
      <c r="T106" s="83">
        <f t="shared" si="79"/>
        <v>40000</v>
      </c>
      <c r="U106" s="83">
        <f t="shared" si="79"/>
        <v>40000</v>
      </c>
      <c r="V106" s="83">
        <f t="shared" si="79"/>
        <v>0</v>
      </c>
      <c r="W106" s="35"/>
    </row>
    <row r="107" spans="2:23" x14ac:dyDescent="0.35">
      <c r="B107" s="34"/>
      <c r="C107" s="19"/>
      <c r="D107" s="19"/>
      <c r="E107" s="19"/>
      <c r="F107" s="19"/>
      <c r="G107" s="19"/>
      <c r="H107" s="83"/>
      <c r="I107" s="83"/>
      <c r="J107" s="83"/>
      <c r="K107" s="83"/>
      <c r="L107" s="83"/>
      <c r="M107" s="83"/>
      <c r="N107" s="83"/>
      <c r="O107" s="83"/>
      <c r="P107" s="83"/>
      <c r="Q107" s="83"/>
      <c r="R107" s="83"/>
      <c r="S107" s="83"/>
      <c r="T107" s="83"/>
      <c r="U107" s="83"/>
      <c r="V107" s="83"/>
      <c r="W107" s="35"/>
    </row>
    <row r="108" spans="2:23" x14ac:dyDescent="0.35">
      <c r="B108" s="34"/>
      <c r="C108" s="19"/>
      <c r="D108" s="19" t="s">
        <v>47</v>
      </c>
      <c r="E108" s="19"/>
      <c r="F108" s="19"/>
      <c r="G108" s="19"/>
      <c r="H108" s="83">
        <f>SUM(H104:H106)</f>
        <v>440000</v>
      </c>
      <c r="I108" s="83">
        <f t="shared" ref="I108:V108" si="80">SUM(I104:I106)</f>
        <v>440000</v>
      </c>
      <c r="J108" s="83">
        <f t="shared" si="80"/>
        <v>440000</v>
      </c>
      <c r="K108" s="83">
        <f t="shared" si="80"/>
        <v>440000</v>
      </c>
      <c r="L108" s="83">
        <f t="shared" si="80"/>
        <v>440000</v>
      </c>
      <c r="M108" s="83">
        <f t="shared" si="80"/>
        <v>440000</v>
      </c>
      <c r="N108" s="83">
        <f t="shared" si="80"/>
        <v>440000</v>
      </c>
      <c r="O108" s="83">
        <f t="shared" si="80"/>
        <v>440000</v>
      </c>
      <c r="P108" s="83">
        <f t="shared" si="80"/>
        <v>440000</v>
      </c>
      <c r="Q108" s="83">
        <f t="shared" si="80"/>
        <v>440000</v>
      </c>
      <c r="R108" s="83">
        <f t="shared" si="80"/>
        <v>440000</v>
      </c>
      <c r="S108" s="83">
        <f t="shared" si="80"/>
        <v>440000</v>
      </c>
      <c r="T108" s="83">
        <f t="shared" si="80"/>
        <v>440000</v>
      </c>
      <c r="U108" s="83">
        <f t="shared" si="80"/>
        <v>440000</v>
      </c>
      <c r="V108" s="83">
        <f t="shared" si="80"/>
        <v>0</v>
      </c>
      <c r="W108" s="35"/>
    </row>
    <row r="109" spans="2:23" x14ac:dyDescent="0.35">
      <c r="B109" s="34"/>
      <c r="C109" s="19"/>
      <c r="D109" s="19"/>
      <c r="E109" s="19"/>
      <c r="F109" s="19"/>
      <c r="G109" s="19"/>
      <c r="H109" s="83"/>
      <c r="I109" s="83"/>
      <c r="J109" s="83"/>
      <c r="K109" s="83"/>
      <c r="L109" s="83"/>
      <c r="M109" s="83"/>
      <c r="N109" s="83"/>
      <c r="O109" s="83"/>
      <c r="P109" s="83"/>
      <c r="Q109" s="83"/>
      <c r="R109" s="83"/>
      <c r="S109" s="83"/>
      <c r="T109" s="83"/>
      <c r="U109" s="83"/>
      <c r="V109" s="83"/>
      <c r="W109" s="35"/>
    </row>
    <row r="110" spans="2:23" x14ac:dyDescent="0.35">
      <c r="B110" s="34"/>
      <c r="C110" s="19"/>
      <c r="D110" s="19" t="s">
        <v>48</v>
      </c>
      <c r="E110" s="19"/>
      <c r="F110" s="19"/>
      <c r="G110" s="19"/>
      <c r="H110" s="83">
        <f>SUM(H108,H101)</f>
        <v>567500</v>
      </c>
      <c r="I110" s="83">
        <f t="shared" ref="I110:V110" si="81">SUM(I108,I101)</f>
        <v>567500</v>
      </c>
      <c r="J110" s="83">
        <f t="shared" si="81"/>
        <v>567500</v>
      </c>
      <c r="K110" s="83">
        <f t="shared" si="81"/>
        <v>567500</v>
      </c>
      <c r="L110" s="83">
        <f t="shared" si="81"/>
        <v>567500</v>
      </c>
      <c r="M110" s="83">
        <f t="shared" si="81"/>
        <v>567500</v>
      </c>
      <c r="N110" s="83">
        <f t="shared" si="81"/>
        <v>567500</v>
      </c>
      <c r="O110" s="83">
        <f t="shared" si="81"/>
        <v>567500</v>
      </c>
      <c r="P110" s="83">
        <f t="shared" si="81"/>
        <v>567500</v>
      </c>
      <c r="Q110" s="83">
        <f t="shared" si="81"/>
        <v>567500</v>
      </c>
      <c r="R110" s="83">
        <f t="shared" si="81"/>
        <v>567500</v>
      </c>
      <c r="S110" s="83">
        <f t="shared" si="81"/>
        <v>567500</v>
      </c>
      <c r="T110" s="83">
        <f t="shared" si="81"/>
        <v>567500</v>
      </c>
      <c r="U110" s="83">
        <f t="shared" si="81"/>
        <v>482500</v>
      </c>
      <c r="V110" s="83">
        <f t="shared" si="81"/>
        <v>0</v>
      </c>
      <c r="W110" s="35"/>
    </row>
    <row r="111" spans="2:23" x14ac:dyDescent="0.35">
      <c r="B111" s="34"/>
      <c r="C111" s="19"/>
      <c r="D111" s="19"/>
      <c r="E111" s="19"/>
      <c r="F111" s="19"/>
      <c r="G111" s="19"/>
      <c r="H111" s="19"/>
      <c r="I111" s="19"/>
      <c r="J111" s="19"/>
      <c r="K111" s="19"/>
      <c r="L111" s="19"/>
      <c r="M111" s="19"/>
      <c r="N111" s="19"/>
      <c r="O111" s="19"/>
      <c r="P111" s="19"/>
      <c r="Q111" s="19"/>
      <c r="R111" s="19"/>
      <c r="S111" s="19"/>
      <c r="T111" s="19"/>
      <c r="U111" s="19"/>
      <c r="V111" s="19"/>
      <c r="W111" s="35"/>
    </row>
    <row r="112" spans="2:23" x14ac:dyDescent="0.35">
      <c r="B112" s="34"/>
      <c r="C112" s="19" t="s">
        <v>48</v>
      </c>
      <c r="D112" s="19"/>
      <c r="E112" s="19"/>
      <c r="F112" s="19"/>
      <c r="G112" s="19"/>
      <c r="H112" s="19"/>
      <c r="I112" s="19"/>
      <c r="J112" s="19"/>
      <c r="K112" s="19"/>
      <c r="L112" s="19"/>
      <c r="M112" s="19"/>
      <c r="N112" s="19"/>
      <c r="O112" s="19"/>
      <c r="P112" s="19"/>
      <c r="Q112" s="19"/>
      <c r="R112" s="19"/>
      <c r="S112" s="19"/>
      <c r="T112" s="19"/>
      <c r="U112" s="19"/>
      <c r="V112" s="19"/>
      <c r="W112" s="35"/>
    </row>
    <row r="113" spans="2:23" x14ac:dyDescent="0.35">
      <c r="B113" s="34"/>
      <c r="C113" s="19"/>
      <c r="D113" s="19"/>
      <c r="E113" s="19"/>
      <c r="F113" s="19"/>
      <c r="G113" s="19"/>
      <c r="H113" s="19"/>
      <c r="I113" s="19"/>
      <c r="J113" s="19"/>
      <c r="K113" s="19"/>
      <c r="L113" s="19"/>
      <c r="M113" s="19"/>
      <c r="N113" s="19"/>
      <c r="O113" s="19"/>
      <c r="P113" s="19"/>
      <c r="Q113" s="19"/>
      <c r="R113" s="19"/>
      <c r="S113" s="19"/>
      <c r="T113" s="19"/>
      <c r="U113" s="19"/>
      <c r="V113" s="19"/>
      <c r="W113" s="35"/>
    </row>
    <row r="114" spans="2:23" x14ac:dyDescent="0.35">
      <c r="B114" s="34"/>
      <c r="C114" s="19"/>
      <c r="D114" s="19" t="s">
        <v>14</v>
      </c>
      <c r="E114" s="19"/>
      <c r="F114" s="19"/>
      <c r="G114" s="19"/>
      <c r="H114" s="83">
        <f>H76</f>
        <v>265000</v>
      </c>
      <c r="I114" s="83">
        <f t="shared" ref="I114:V114" si="82">I76</f>
        <v>265000</v>
      </c>
      <c r="J114" s="83">
        <f t="shared" si="82"/>
        <v>265000</v>
      </c>
      <c r="K114" s="83">
        <f t="shared" si="82"/>
        <v>265000</v>
      </c>
      <c r="L114" s="83">
        <f t="shared" si="82"/>
        <v>265000</v>
      </c>
      <c r="M114" s="83">
        <f t="shared" si="82"/>
        <v>265000</v>
      </c>
      <c r="N114" s="83">
        <f t="shared" si="82"/>
        <v>265000</v>
      </c>
      <c r="O114" s="83">
        <f t="shared" si="82"/>
        <v>185000</v>
      </c>
      <c r="P114" s="83">
        <f t="shared" si="82"/>
        <v>0</v>
      </c>
      <c r="Q114" s="83">
        <f t="shared" si="82"/>
        <v>0</v>
      </c>
      <c r="R114" s="83">
        <f t="shared" si="82"/>
        <v>0</v>
      </c>
      <c r="S114" s="83">
        <f t="shared" si="82"/>
        <v>0</v>
      </c>
      <c r="T114" s="83">
        <f t="shared" si="82"/>
        <v>0</v>
      </c>
      <c r="U114" s="83">
        <f t="shared" si="82"/>
        <v>0</v>
      </c>
      <c r="V114" s="83">
        <f t="shared" si="82"/>
        <v>0</v>
      </c>
      <c r="W114" s="35"/>
    </row>
    <row r="115" spans="2:23" x14ac:dyDescent="0.35">
      <c r="B115" s="34"/>
      <c r="C115" s="19"/>
      <c r="D115" s="19" t="s">
        <v>23</v>
      </c>
      <c r="E115" s="19"/>
      <c r="F115" s="19"/>
      <c r="G115" s="19"/>
      <c r="H115" s="83">
        <f>H93</f>
        <v>348750</v>
      </c>
      <c r="I115" s="83">
        <f t="shared" ref="I115:V115" si="83">I93</f>
        <v>348750</v>
      </c>
      <c r="J115" s="83">
        <f t="shared" si="83"/>
        <v>348750</v>
      </c>
      <c r="K115" s="83">
        <f t="shared" si="83"/>
        <v>348750</v>
      </c>
      <c r="L115" s="83">
        <f t="shared" si="83"/>
        <v>348750</v>
      </c>
      <c r="M115" s="83">
        <f t="shared" si="83"/>
        <v>348750</v>
      </c>
      <c r="N115" s="83">
        <f t="shared" si="83"/>
        <v>348750</v>
      </c>
      <c r="O115" s="83">
        <f t="shared" si="83"/>
        <v>348750</v>
      </c>
      <c r="P115" s="83">
        <f t="shared" si="83"/>
        <v>348750</v>
      </c>
      <c r="Q115" s="83">
        <f t="shared" si="83"/>
        <v>348750</v>
      </c>
      <c r="R115" s="83">
        <f t="shared" si="83"/>
        <v>348750</v>
      </c>
      <c r="S115" s="83">
        <f t="shared" si="83"/>
        <v>348750</v>
      </c>
      <c r="T115" s="83">
        <f t="shared" si="83"/>
        <v>0</v>
      </c>
      <c r="U115" s="83">
        <f t="shared" si="83"/>
        <v>0</v>
      </c>
      <c r="V115" s="83">
        <f t="shared" si="83"/>
        <v>0</v>
      </c>
      <c r="W115" s="35"/>
    </row>
    <row r="116" spans="2:23" x14ac:dyDescent="0.35">
      <c r="B116" s="34"/>
      <c r="C116" s="19"/>
      <c r="D116" s="19" t="s">
        <v>24</v>
      </c>
      <c r="E116" s="19"/>
      <c r="F116" s="19"/>
      <c r="G116" s="19"/>
      <c r="H116" s="83">
        <f>H110</f>
        <v>567500</v>
      </c>
      <c r="I116" s="83">
        <f t="shared" ref="I116:V116" si="84">I110</f>
        <v>567500</v>
      </c>
      <c r="J116" s="83">
        <f t="shared" si="84"/>
        <v>567500</v>
      </c>
      <c r="K116" s="83">
        <f t="shared" si="84"/>
        <v>567500</v>
      </c>
      <c r="L116" s="83">
        <f t="shared" si="84"/>
        <v>567500</v>
      </c>
      <c r="M116" s="83">
        <f t="shared" si="84"/>
        <v>567500</v>
      </c>
      <c r="N116" s="83">
        <f t="shared" si="84"/>
        <v>567500</v>
      </c>
      <c r="O116" s="83">
        <f t="shared" si="84"/>
        <v>567500</v>
      </c>
      <c r="P116" s="83">
        <f t="shared" si="84"/>
        <v>567500</v>
      </c>
      <c r="Q116" s="83">
        <f t="shared" si="84"/>
        <v>567500</v>
      </c>
      <c r="R116" s="83">
        <f t="shared" si="84"/>
        <v>567500</v>
      </c>
      <c r="S116" s="83">
        <f t="shared" si="84"/>
        <v>567500</v>
      </c>
      <c r="T116" s="83">
        <f t="shared" si="84"/>
        <v>567500</v>
      </c>
      <c r="U116" s="83">
        <f t="shared" si="84"/>
        <v>482500</v>
      </c>
      <c r="V116" s="83">
        <f t="shared" si="84"/>
        <v>0</v>
      </c>
      <c r="W116" s="35"/>
    </row>
    <row r="117" spans="2:23" x14ac:dyDescent="0.35">
      <c r="B117" s="34"/>
      <c r="C117" s="19"/>
      <c r="D117" s="19"/>
      <c r="E117" s="19"/>
      <c r="F117" s="19"/>
      <c r="G117" s="19"/>
      <c r="H117" s="83"/>
      <c r="I117" s="83"/>
      <c r="J117" s="83"/>
      <c r="K117" s="83"/>
      <c r="L117" s="83"/>
      <c r="M117" s="83"/>
      <c r="N117" s="83"/>
      <c r="O117" s="83"/>
      <c r="P117" s="83"/>
      <c r="Q117" s="83"/>
      <c r="R117" s="83"/>
      <c r="S117" s="83"/>
      <c r="T117" s="83"/>
      <c r="U117" s="83"/>
      <c r="V117" s="83"/>
      <c r="W117" s="35"/>
    </row>
    <row r="118" spans="2:23" ht="15" thickBot="1" x14ac:dyDescent="0.4">
      <c r="B118" s="34"/>
      <c r="C118" s="153" t="s">
        <v>53</v>
      </c>
      <c r="D118" s="153" t="s">
        <v>53</v>
      </c>
      <c r="E118" s="153"/>
      <c r="F118" s="76"/>
      <c r="G118" s="76"/>
      <c r="H118" s="77">
        <f>SUM(H114:H116)</f>
        <v>1181250</v>
      </c>
      <c r="I118" s="77">
        <f t="shared" ref="I118:V118" si="85">SUM(I114:I116)</f>
        <v>1181250</v>
      </c>
      <c r="J118" s="77">
        <f t="shared" si="85"/>
        <v>1181250</v>
      </c>
      <c r="K118" s="77">
        <f t="shared" si="85"/>
        <v>1181250</v>
      </c>
      <c r="L118" s="77">
        <f t="shared" si="85"/>
        <v>1181250</v>
      </c>
      <c r="M118" s="77">
        <f t="shared" si="85"/>
        <v>1181250</v>
      </c>
      <c r="N118" s="77">
        <f t="shared" si="85"/>
        <v>1181250</v>
      </c>
      <c r="O118" s="77">
        <f t="shared" si="85"/>
        <v>1101250</v>
      </c>
      <c r="P118" s="77">
        <f t="shared" si="85"/>
        <v>916250</v>
      </c>
      <c r="Q118" s="77">
        <f t="shared" si="85"/>
        <v>916250</v>
      </c>
      <c r="R118" s="77">
        <f t="shared" si="85"/>
        <v>916250</v>
      </c>
      <c r="S118" s="77">
        <f t="shared" si="85"/>
        <v>916250</v>
      </c>
      <c r="T118" s="77">
        <f t="shared" si="85"/>
        <v>567500</v>
      </c>
      <c r="U118" s="77">
        <f t="shared" si="85"/>
        <v>482500</v>
      </c>
      <c r="V118" s="77">
        <f t="shared" si="85"/>
        <v>0</v>
      </c>
      <c r="W118" s="35"/>
    </row>
    <row r="119" spans="2:23" ht="15" thickTop="1" x14ac:dyDescent="0.35">
      <c r="B119" s="34"/>
      <c r="W119" s="35"/>
    </row>
    <row r="120" spans="2:23" x14ac:dyDescent="0.35">
      <c r="B120" s="34"/>
      <c r="C120" s="4"/>
      <c r="D120" s="5"/>
      <c r="E120" s="6"/>
      <c r="F120" s="6"/>
      <c r="G120" s="6"/>
      <c r="H120" s="6"/>
      <c r="I120" s="6"/>
      <c r="J120" s="6"/>
      <c r="K120" s="6"/>
      <c r="L120" s="6"/>
      <c r="M120" s="6"/>
      <c r="N120" s="6"/>
      <c r="O120" s="6"/>
      <c r="P120" s="6"/>
      <c r="Q120" s="6"/>
      <c r="R120" s="6"/>
      <c r="S120" s="6"/>
      <c r="T120" s="6"/>
      <c r="U120" s="6"/>
      <c r="V120" s="6"/>
      <c r="W120" s="35"/>
    </row>
    <row r="121" spans="2:23" ht="15" thickBot="1" x14ac:dyDescent="0.4">
      <c r="B121" s="62"/>
      <c r="C121" s="31"/>
      <c r="D121" s="31"/>
      <c r="E121" s="31"/>
      <c r="F121" s="31"/>
      <c r="G121" s="31"/>
      <c r="H121" s="31"/>
      <c r="I121" s="31"/>
      <c r="J121" s="31"/>
      <c r="K121" s="31"/>
      <c r="L121" s="31"/>
      <c r="M121" s="31"/>
      <c r="N121" s="31"/>
      <c r="O121" s="31"/>
      <c r="P121" s="31"/>
      <c r="Q121" s="31"/>
      <c r="R121" s="31"/>
      <c r="S121" s="31"/>
      <c r="T121" s="31"/>
      <c r="U121" s="31"/>
      <c r="V121" s="31"/>
      <c r="W121" s="33"/>
    </row>
  </sheetData>
  <mergeCells count="4">
    <mergeCell ref="C46:E46"/>
    <mergeCell ref="C57:E57"/>
    <mergeCell ref="C118:E118"/>
    <mergeCell ref="B3:C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8310B-CC0D-417E-AB5F-903B01C5343F}">
  <dimension ref="B2:W104"/>
  <sheetViews>
    <sheetView zoomScale="85" zoomScaleNormal="85" workbookViewId="0">
      <pane xSplit="7" ySplit="3" topLeftCell="H63" activePane="bottomRight" state="frozen"/>
      <selection pane="topRight" activeCell="H1" sqref="H1"/>
      <selection pane="bottomLeft" activeCell="A4" sqref="A4"/>
      <selection pane="bottomRight" activeCell="G4" sqref="G4"/>
    </sheetView>
  </sheetViews>
  <sheetFormatPr defaultColWidth="9.08984375" defaultRowHeight="14.5" x14ac:dyDescent="0.35"/>
  <cols>
    <col min="1" max="1" width="3" style="1" customWidth="1"/>
    <col min="2" max="2" width="3.6328125" style="1" customWidth="1"/>
    <col min="3" max="4" width="9.08984375" style="1"/>
    <col min="5" max="5" width="17" style="1" customWidth="1"/>
    <col min="6" max="6" width="11.54296875" style="1" bestFit="1" customWidth="1"/>
    <col min="7" max="7" width="10.54296875" style="1" bestFit="1" customWidth="1"/>
    <col min="8" max="9" width="14.08984375" style="1" bestFit="1" customWidth="1"/>
    <col min="10" max="15" width="14.36328125" style="1" bestFit="1" customWidth="1"/>
    <col min="16" max="22" width="15" style="1" bestFit="1" customWidth="1"/>
    <col min="23" max="23" width="3.6328125" style="1" customWidth="1"/>
    <col min="24" max="16384" width="9.08984375" style="1"/>
  </cols>
  <sheetData>
    <row r="2" spans="2:23" ht="15" thickBot="1" x14ac:dyDescent="0.4"/>
    <row r="3" spans="2:23" ht="16" thickBot="1" x14ac:dyDescent="0.4">
      <c r="B3" s="154" t="s">
        <v>13</v>
      </c>
      <c r="C3" s="155"/>
      <c r="D3" s="78"/>
      <c r="E3" s="78"/>
      <c r="F3" s="78"/>
      <c r="G3" s="78"/>
      <c r="H3" s="78">
        <v>2023</v>
      </c>
      <c r="I3" s="78">
        <v>2024</v>
      </c>
      <c r="J3" s="78">
        <v>2025</v>
      </c>
      <c r="K3" s="78">
        <v>2026</v>
      </c>
      <c r="L3" s="78">
        <v>2027</v>
      </c>
      <c r="M3" s="78">
        <v>2028</v>
      </c>
      <c r="N3" s="78">
        <v>2029</v>
      </c>
      <c r="O3" s="78">
        <v>2030</v>
      </c>
      <c r="P3" s="78">
        <v>2031</v>
      </c>
      <c r="Q3" s="78">
        <v>2032</v>
      </c>
      <c r="R3" s="78">
        <v>2033</v>
      </c>
      <c r="S3" s="78">
        <v>2034</v>
      </c>
      <c r="T3" s="78">
        <v>2035</v>
      </c>
      <c r="U3" s="78">
        <v>2036</v>
      </c>
      <c r="V3" s="78">
        <v>2037</v>
      </c>
      <c r="W3" s="79"/>
    </row>
    <row r="4" spans="2:23" ht="9.9" customHeight="1" x14ac:dyDescent="0.35">
      <c r="B4" s="34"/>
      <c r="W4" s="35"/>
    </row>
    <row r="5" spans="2:23" x14ac:dyDescent="0.35">
      <c r="B5" s="34"/>
      <c r="C5" s="4" t="s">
        <v>54</v>
      </c>
      <c r="D5" s="5"/>
      <c r="E5" s="6"/>
      <c r="F5" s="6"/>
      <c r="G5" s="6"/>
      <c r="H5" s="6"/>
      <c r="I5" s="6"/>
      <c r="J5" s="6"/>
      <c r="K5" s="6"/>
      <c r="L5" s="6"/>
      <c r="M5" s="6"/>
      <c r="N5" s="6"/>
      <c r="O5" s="6"/>
      <c r="P5" s="6"/>
      <c r="Q5" s="6"/>
      <c r="R5" s="6"/>
      <c r="S5" s="6"/>
      <c r="T5" s="6"/>
      <c r="U5" s="6"/>
      <c r="V5" s="6"/>
      <c r="W5" s="35"/>
    </row>
    <row r="6" spans="2:23" ht="9.9" customHeight="1" x14ac:dyDescent="0.35">
      <c r="B6" s="34"/>
      <c r="W6" s="35"/>
    </row>
    <row r="7" spans="2:23" x14ac:dyDescent="0.35">
      <c r="B7" s="34"/>
      <c r="C7" s="19" t="s">
        <v>27</v>
      </c>
      <c r="D7" s="19"/>
      <c r="E7" s="19"/>
      <c r="F7" s="19"/>
      <c r="G7" s="19"/>
      <c r="H7" s="19"/>
      <c r="I7" s="19"/>
      <c r="J7" s="19"/>
      <c r="K7" s="19"/>
      <c r="L7" s="19"/>
      <c r="M7" s="19"/>
      <c r="N7" s="19"/>
      <c r="O7" s="19"/>
      <c r="P7" s="19"/>
      <c r="Q7" s="19"/>
      <c r="R7" s="19"/>
      <c r="S7" s="19"/>
      <c r="T7" s="19"/>
      <c r="U7" s="19"/>
      <c r="V7" s="19"/>
      <c r="W7" s="35"/>
    </row>
    <row r="8" spans="2:23" x14ac:dyDescent="0.35">
      <c r="B8" s="34"/>
      <c r="C8" s="19"/>
      <c r="D8" s="19" t="s">
        <v>14</v>
      </c>
      <c r="E8" s="19"/>
      <c r="F8" s="19"/>
      <c r="G8" s="19"/>
      <c r="H8" s="83">
        <f>'Model Operations'!H53</f>
        <v>884553.85852090025</v>
      </c>
      <c r="I8" s="83">
        <f>'Model Operations'!I53</f>
        <v>1179405.1446945337</v>
      </c>
      <c r="J8" s="83">
        <f>'Model Operations'!J53</f>
        <v>1179405.1446945337</v>
      </c>
      <c r="K8" s="83">
        <f>'Model Operations'!K53</f>
        <v>1134043.4083601285</v>
      </c>
      <c r="L8" s="83">
        <f>'Model Operations'!L53</f>
        <v>1088681.6720257234</v>
      </c>
      <c r="M8" s="83">
        <f>'Model Operations'!M53</f>
        <v>1043319.9356913182</v>
      </c>
      <c r="N8" s="83">
        <f>'Model Operations'!N53</f>
        <v>997958.1993569131</v>
      </c>
      <c r="O8" s="83">
        <f>'Model Operations'!O53</f>
        <v>259799.03536977494</v>
      </c>
      <c r="P8" s="83">
        <f>'Model Operations'!P53</f>
        <v>0</v>
      </c>
      <c r="Q8" s="83">
        <f>'Model Operations'!Q53</f>
        <v>0</v>
      </c>
      <c r="R8" s="83">
        <f>'Model Operations'!R53</f>
        <v>0</v>
      </c>
      <c r="S8" s="83">
        <f>'Model Operations'!S53</f>
        <v>0</v>
      </c>
      <c r="T8" s="83">
        <f>'Model Operations'!T53</f>
        <v>0</v>
      </c>
      <c r="U8" s="83">
        <f>'Model Operations'!U53</f>
        <v>0</v>
      </c>
      <c r="V8" s="83">
        <f>'Model Operations'!V53</f>
        <v>0</v>
      </c>
      <c r="W8" s="35"/>
    </row>
    <row r="9" spans="2:23" x14ac:dyDescent="0.35">
      <c r="B9" s="34"/>
      <c r="C9" s="19"/>
      <c r="D9" s="19" t="s">
        <v>23</v>
      </c>
      <c r="E9" s="19"/>
      <c r="F9" s="19"/>
      <c r="G9" s="19"/>
      <c r="H9" s="83">
        <f>'Model Operations'!H54</f>
        <v>1005174.8392282957</v>
      </c>
      <c r="I9" s="83">
        <f>'Model Operations'!I54</f>
        <v>1340233.118971061</v>
      </c>
      <c r="J9" s="83">
        <f>'Model Operations'!J54</f>
        <v>1340233.118971061</v>
      </c>
      <c r="K9" s="83">
        <f>'Model Operations'!K54</f>
        <v>1288685.6913183278</v>
      </c>
      <c r="L9" s="83">
        <f>'Model Operations'!L54</f>
        <v>1237138.2636655949</v>
      </c>
      <c r="M9" s="83">
        <f>'Model Operations'!M54</f>
        <v>1185590.8360128617</v>
      </c>
      <c r="N9" s="83">
        <f>'Model Operations'!N54</f>
        <v>1134043.4083601285</v>
      </c>
      <c r="O9" s="83">
        <f>'Model Operations'!O54</f>
        <v>1082495.9807073954</v>
      </c>
      <c r="P9" s="83">
        <f>'Model Operations'!P54</f>
        <v>1030948.5530546623</v>
      </c>
      <c r="Q9" s="83">
        <f>'Model Operations'!Q54</f>
        <v>1030948.5530546623</v>
      </c>
      <c r="R9" s="83">
        <f>'Model Operations'!R54</f>
        <v>1030948.5530546623</v>
      </c>
      <c r="S9" s="83">
        <f>'Model Operations'!S54</f>
        <v>1030948.5530546623</v>
      </c>
      <c r="T9" s="83">
        <f>'Model Operations'!T54</f>
        <v>0</v>
      </c>
      <c r="U9" s="83">
        <f>'Model Operations'!U54</f>
        <v>0</v>
      </c>
      <c r="V9" s="83">
        <f>'Model Operations'!V54</f>
        <v>0</v>
      </c>
      <c r="W9" s="35"/>
    </row>
    <row r="10" spans="2:23" x14ac:dyDescent="0.35">
      <c r="B10" s="34"/>
      <c r="C10" s="19"/>
      <c r="D10" s="19" t="s">
        <v>24</v>
      </c>
      <c r="E10" s="19"/>
      <c r="F10" s="19"/>
      <c r="G10" s="19"/>
      <c r="H10" s="83">
        <f>'Model Operations'!H55</f>
        <v>1447451.7684887459</v>
      </c>
      <c r="I10" s="83">
        <f>'Model Operations'!I55</f>
        <v>1929935.6913183278</v>
      </c>
      <c r="J10" s="83">
        <f>'Model Operations'!J55</f>
        <v>1929935.6913183278</v>
      </c>
      <c r="K10" s="83">
        <f>'Model Operations'!K55</f>
        <v>1855707.3954983922</v>
      </c>
      <c r="L10" s="83">
        <f>'Model Operations'!L55</f>
        <v>1781479.0996784563</v>
      </c>
      <c r="M10" s="83">
        <f>'Model Operations'!M55</f>
        <v>1707250.8038585207</v>
      </c>
      <c r="N10" s="83">
        <f>'Model Operations'!N55</f>
        <v>1633022.5080385851</v>
      </c>
      <c r="O10" s="83">
        <f>'Model Operations'!O55</f>
        <v>1558794.2122186495</v>
      </c>
      <c r="P10" s="83">
        <f>'Model Operations'!P55</f>
        <v>1484565.9163987136</v>
      </c>
      <c r="Q10" s="83">
        <f>'Model Operations'!Q55</f>
        <v>1484565.9163987136</v>
      </c>
      <c r="R10" s="83">
        <f>'Model Operations'!R55</f>
        <v>1484565.9163987136</v>
      </c>
      <c r="S10" s="83">
        <f>'Model Operations'!S55</f>
        <v>1484565.9163987136</v>
      </c>
      <c r="T10" s="83">
        <f>'Model Operations'!T55</f>
        <v>1484565.9163987136</v>
      </c>
      <c r="U10" s="83">
        <f>'Model Operations'!U55</f>
        <v>494855.30546623794</v>
      </c>
      <c r="V10" s="83">
        <f>'Model Operations'!V55</f>
        <v>0</v>
      </c>
      <c r="W10" s="35"/>
    </row>
    <row r="11" spans="2:23" x14ac:dyDescent="0.35">
      <c r="B11" s="34"/>
      <c r="C11" s="19"/>
      <c r="D11" s="19"/>
      <c r="E11" s="19"/>
      <c r="F11" s="19"/>
      <c r="G11" s="19"/>
      <c r="H11" s="83"/>
      <c r="I11" s="83"/>
      <c r="J11" s="83"/>
      <c r="K11" s="83"/>
      <c r="L11" s="83"/>
      <c r="M11" s="83"/>
      <c r="N11" s="83"/>
      <c r="O11" s="83"/>
      <c r="P11" s="83"/>
      <c r="Q11" s="83"/>
      <c r="R11" s="83"/>
      <c r="S11" s="83"/>
      <c r="T11" s="83"/>
      <c r="U11" s="83"/>
      <c r="V11" s="83"/>
      <c r="W11" s="35"/>
    </row>
    <row r="12" spans="2:23" x14ac:dyDescent="0.35">
      <c r="B12" s="34"/>
      <c r="C12" s="19" t="s">
        <v>52</v>
      </c>
      <c r="D12" s="19"/>
      <c r="E12" s="19"/>
      <c r="F12" s="19"/>
      <c r="G12" s="19"/>
      <c r="H12" s="83">
        <f>SUM(H8:H10)</f>
        <v>3337180.4662379418</v>
      </c>
      <c r="I12" s="83">
        <f t="shared" ref="I12:V12" si="0">SUM(I8:I10)</f>
        <v>4449573.9549839227</v>
      </c>
      <c r="J12" s="83">
        <f t="shared" si="0"/>
        <v>4449573.9549839227</v>
      </c>
      <c r="K12" s="83">
        <f t="shared" si="0"/>
        <v>4278436.495176848</v>
      </c>
      <c r="L12" s="83">
        <f t="shared" si="0"/>
        <v>4107299.0353697748</v>
      </c>
      <c r="M12" s="83">
        <f t="shared" si="0"/>
        <v>3936161.5755627006</v>
      </c>
      <c r="N12" s="83">
        <f t="shared" si="0"/>
        <v>3765024.1157556269</v>
      </c>
      <c r="O12" s="83">
        <f t="shared" si="0"/>
        <v>2901089.2282958198</v>
      </c>
      <c r="P12" s="83">
        <f t="shared" si="0"/>
        <v>2515514.4694533758</v>
      </c>
      <c r="Q12" s="83">
        <f t="shared" si="0"/>
        <v>2515514.4694533758</v>
      </c>
      <c r="R12" s="83">
        <f t="shared" si="0"/>
        <v>2515514.4694533758</v>
      </c>
      <c r="S12" s="83">
        <f t="shared" si="0"/>
        <v>2515514.4694533758</v>
      </c>
      <c r="T12" s="83">
        <f t="shared" si="0"/>
        <v>1484565.9163987136</v>
      </c>
      <c r="U12" s="83">
        <f t="shared" si="0"/>
        <v>494855.30546623794</v>
      </c>
      <c r="V12" s="83">
        <f t="shared" si="0"/>
        <v>0</v>
      </c>
      <c r="W12" s="35"/>
    </row>
    <row r="13" spans="2:23" x14ac:dyDescent="0.35">
      <c r="B13" s="34"/>
      <c r="C13" s="19"/>
      <c r="D13" s="19"/>
      <c r="E13" s="19"/>
      <c r="F13" s="19"/>
      <c r="G13" s="19"/>
      <c r="H13" s="83"/>
      <c r="I13" s="83"/>
      <c r="J13" s="83"/>
      <c r="K13" s="83"/>
      <c r="L13" s="83"/>
      <c r="M13" s="83"/>
      <c r="N13" s="83"/>
      <c r="O13" s="83"/>
      <c r="P13" s="83"/>
      <c r="Q13" s="83"/>
      <c r="R13" s="83"/>
      <c r="S13" s="83"/>
      <c r="T13" s="83"/>
      <c r="U13" s="83"/>
      <c r="V13" s="83"/>
      <c r="W13" s="35"/>
    </row>
    <row r="14" spans="2:23" x14ac:dyDescent="0.35">
      <c r="B14" s="34"/>
      <c r="C14" s="19" t="s">
        <v>55</v>
      </c>
      <c r="D14" s="19"/>
      <c r="E14" s="19"/>
      <c r="F14" s="19"/>
      <c r="G14" s="19"/>
      <c r="H14" s="83"/>
      <c r="I14" s="83"/>
      <c r="J14" s="83"/>
      <c r="K14" s="83"/>
      <c r="L14" s="83"/>
      <c r="M14" s="83"/>
      <c r="N14" s="83"/>
      <c r="O14" s="83"/>
      <c r="P14" s="83"/>
      <c r="Q14" s="83"/>
      <c r="R14" s="83"/>
      <c r="S14" s="83"/>
      <c r="T14" s="83"/>
      <c r="U14" s="83"/>
      <c r="V14" s="83"/>
      <c r="W14" s="35"/>
    </row>
    <row r="15" spans="2:23" x14ac:dyDescent="0.35">
      <c r="B15" s="34"/>
      <c r="C15" s="19"/>
      <c r="D15" s="19" t="s">
        <v>14</v>
      </c>
      <c r="E15" s="19"/>
      <c r="F15" s="19"/>
      <c r="G15" s="19"/>
      <c r="H15" s="83">
        <f>'Model Operations'!H114</f>
        <v>265000</v>
      </c>
      <c r="I15" s="83">
        <f>'Model Operations'!I114</f>
        <v>265000</v>
      </c>
      <c r="J15" s="83">
        <f>'Model Operations'!J114</f>
        <v>265000</v>
      </c>
      <c r="K15" s="83">
        <f>'Model Operations'!K114</f>
        <v>265000</v>
      </c>
      <c r="L15" s="83">
        <f>'Model Operations'!L114</f>
        <v>265000</v>
      </c>
      <c r="M15" s="83">
        <f>'Model Operations'!M114</f>
        <v>265000</v>
      </c>
      <c r="N15" s="83">
        <f>'Model Operations'!N114</f>
        <v>265000</v>
      </c>
      <c r="O15" s="83">
        <f>'Model Operations'!O114</f>
        <v>185000</v>
      </c>
      <c r="P15" s="83">
        <f>'Model Operations'!P114</f>
        <v>0</v>
      </c>
      <c r="Q15" s="83">
        <f>'Model Operations'!Q114</f>
        <v>0</v>
      </c>
      <c r="R15" s="83">
        <f>'Model Operations'!R114</f>
        <v>0</v>
      </c>
      <c r="S15" s="83">
        <f>'Model Operations'!S114</f>
        <v>0</v>
      </c>
      <c r="T15" s="83">
        <f>'Model Operations'!T114</f>
        <v>0</v>
      </c>
      <c r="U15" s="83">
        <f>'Model Operations'!U114</f>
        <v>0</v>
      </c>
      <c r="V15" s="83">
        <f>'Model Operations'!V114</f>
        <v>0</v>
      </c>
      <c r="W15" s="35"/>
    </row>
    <row r="16" spans="2:23" x14ac:dyDescent="0.35">
      <c r="B16" s="34"/>
      <c r="C16" s="19"/>
      <c r="D16" s="19" t="s">
        <v>23</v>
      </c>
      <c r="E16" s="19"/>
      <c r="F16" s="19"/>
      <c r="G16" s="19"/>
      <c r="H16" s="83">
        <f>'Model Operations'!H115</f>
        <v>348750</v>
      </c>
      <c r="I16" s="83">
        <f>'Model Operations'!I115</f>
        <v>348750</v>
      </c>
      <c r="J16" s="83">
        <f>'Model Operations'!J115</f>
        <v>348750</v>
      </c>
      <c r="K16" s="83">
        <f>'Model Operations'!K115</f>
        <v>348750</v>
      </c>
      <c r="L16" s="83">
        <f>'Model Operations'!L115</f>
        <v>348750</v>
      </c>
      <c r="M16" s="83">
        <f>'Model Operations'!M115</f>
        <v>348750</v>
      </c>
      <c r="N16" s="83">
        <f>'Model Operations'!N115</f>
        <v>348750</v>
      </c>
      <c r="O16" s="83">
        <f>'Model Operations'!O115</f>
        <v>348750</v>
      </c>
      <c r="P16" s="83">
        <f>'Model Operations'!P115</f>
        <v>348750</v>
      </c>
      <c r="Q16" s="83">
        <f>'Model Operations'!Q115</f>
        <v>348750</v>
      </c>
      <c r="R16" s="83">
        <f>'Model Operations'!R115</f>
        <v>348750</v>
      </c>
      <c r="S16" s="83">
        <f>'Model Operations'!S115</f>
        <v>348750</v>
      </c>
      <c r="T16" s="83">
        <f>'Model Operations'!T115</f>
        <v>0</v>
      </c>
      <c r="U16" s="83">
        <f>'Model Operations'!U115</f>
        <v>0</v>
      </c>
      <c r="V16" s="83">
        <f>'Model Operations'!V115</f>
        <v>0</v>
      </c>
      <c r="W16" s="35"/>
    </row>
    <row r="17" spans="2:23" x14ac:dyDescent="0.35">
      <c r="B17" s="34"/>
      <c r="C17" s="19"/>
      <c r="D17" s="19" t="s">
        <v>24</v>
      </c>
      <c r="E17" s="19"/>
      <c r="F17" s="19"/>
      <c r="G17" s="19"/>
      <c r="H17" s="83">
        <f>'Model Operations'!H116</f>
        <v>567500</v>
      </c>
      <c r="I17" s="83">
        <f>'Model Operations'!I116</f>
        <v>567500</v>
      </c>
      <c r="J17" s="83">
        <f>'Model Operations'!J116</f>
        <v>567500</v>
      </c>
      <c r="K17" s="83">
        <f>'Model Operations'!K116</f>
        <v>567500</v>
      </c>
      <c r="L17" s="83">
        <f>'Model Operations'!L116</f>
        <v>567500</v>
      </c>
      <c r="M17" s="83">
        <f>'Model Operations'!M116</f>
        <v>567500</v>
      </c>
      <c r="N17" s="83">
        <f>'Model Operations'!N116</f>
        <v>567500</v>
      </c>
      <c r="O17" s="83">
        <f>'Model Operations'!O116</f>
        <v>567500</v>
      </c>
      <c r="P17" s="83">
        <f>'Model Operations'!P116</f>
        <v>567500</v>
      </c>
      <c r="Q17" s="83">
        <f>'Model Operations'!Q116</f>
        <v>567500</v>
      </c>
      <c r="R17" s="83">
        <f>'Model Operations'!R116</f>
        <v>567500</v>
      </c>
      <c r="S17" s="83">
        <f>'Model Operations'!S116</f>
        <v>567500</v>
      </c>
      <c r="T17" s="83">
        <f>'Model Operations'!T116</f>
        <v>567500</v>
      </c>
      <c r="U17" s="83">
        <f>'Model Operations'!U116</f>
        <v>482500</v>
      </c>
      <c r="V17" s="83">
        <f>'Model Operations'!V116</f>
        <v>0</v>
      </c>
      <c r="W17" s="35"/>
    </row>
    <row r="18" spans="2:23" x14ac:dyDescent="0.35">
      <c r="B18" s="34"/>
      <c r="C18" s="19"/>
      <c r="D18" s="19"/>
      <c r="E18" s="19"/>
      <c r="F18" s="19"/>
      <c r="G18" s="19"/>
      <c r="H18" s="83"/>
      <c r="I18" s="83"/>
      <c r="J18" s="83"/>
      <c r="K18" s="83"/>
      <c r="L18" s="83"/>
      <c r="M18" s="83"/>
      <c r="N18" s="83"/>
      <c r="O18" s="83"/>
      <c r="P18" s="83"/>
      <c r="Q18" s="83"/>
      <c r="R18" s="83"/>
      <c r="S18" s="83"/>
      <c r="T18" s="83"/>
      <c r="U18" s="83"/>
      <c r="V18" s="83"/>
      <c r="W18" s="35"/>
    </row>
    <row r="19" spans="2:23" x14ac:dyDescent="0.35">
      <c r="B19" s="34"/>
      <c r="C19" s="19" t="s">
        <v>48</v>
      </c>
      <c r="D19" s="19"/>
      <c r="E19" s="19"/>
      <c r="F19" s="19"/>
      <c r="G19" s="19"/>
      <c r="H19" s="83">
        <f>SUM(H15:H17)</f>
        <v>1181250</v>
      </c>
      <c r="I19" s="83">
        <f t="shared" ref="I19:V19" si="1">SUM(I15:I17)</f>
        <v>1181250</v>
      </c>
      <c r="J19" s="83">
        <f t="shared" si="1"/>
        <v>1181250</v>
      </c>
      <c r="K19" s="83">
        <f t="shared" si="1"/>
        <v>1181250</v>
      </c>
      <c r="L19" s="83">
        <f t="shared" si="1"/>
        <v>1181250</v>
      </c>
      <c r="M19" s="83">
        <f t="shared" si="1"/>
        <v>1181250</v>
      </c>
      <c r="N19" s="83">
        <f t="shared" si="1"/>
        <v>1181250</v>
      </c>
      <c r="O19" s="83">
        <f t="shared" si="1"/>
        <v>1101250</v>
      </c>
      <c r="P19" s="83">
        <f t="shared" si="1"/>
        <v>916250</v>
      </c>
      <c r="Q19" s="83">
        <f t="shared" si="1"/>
        <v>916250</v>
      </c>
      <c r="R19" s="83">
        <f t="shared" si="1"/>
        <v>916250</v>
      </c>
      <c r="S19" s="83">
        <f t="shared" si="1"/>
        <v>916250</v>
      </c>
      <c r="T19" s="83">
        <f t="shared" si="1"/>
        <v>567500</v>
      </c>
      <c r="U19" s="83">
        <f t="shared" si="1"/>
        <v>482500</v>
      </c>
      <c r="V19" s="83">
        <f t="shared" si="1"/>
        <v>0</v>
      </c>
      <c r="W19" s="35"/>
    </row>
    <row r="20" spans="2:23" x14ac:dyDescent="0.35">
      <c r="B20" s="34"/>
      <c r="C20" s="19"/>
      <c r="D20" s="19"/>
      <c r="E20" s="19"/>
      <c r="F20" s="19"/>
      <c r="G20" s="19"/>
      <c r="H20" s="83"/>
      <c r="I20" s="83"/>
      <c r="J20" s="83"/>
      <c r="K20" s="83"/>
      <c r="L20" s="83"/>
      <c r="M20" s="83"/>
      <c r="N20" s="83"/>
      <c r="O20" s="83"/>
      <c r="P20" s="83"/>
      <c r="Q20" s="83"/>
      <c r="R20" s="83"/>
      <c r="S20" s="83"/>
      <c r="T20" s="83"/>
      <c r="U20" s="83"/>
      <c r="V20" s="83"/>
      <c r="W20" s="35"/>
    </row>
    <row r="21" spans="2:23" x14ac:dyDescent="0.35">
      <c r="B21" s="34"/>
      <c r="C21" s="19"/>
      <c r="D21" s="19"/>
      <c r="E21" s="19"/>
      <c r="F21" s="19"/>
      <c r="G21" s="19"/>
      <c r="H21" s="83"/>
      <c r="I21" s="83"/>
      <c r="J21" s="83"/>
      <c r="K21" s="83"/>
      <c r="L21" s="83"/>
      <c r="M21" s="83"/>
      <c r="N21" s="83"/>
      <c r="O21" s="83"/>
      <c r="P21" s="83"/>
      <c r="Q21" s="83"/>
      <c r="R21" s="83"/>
      <c r="S21" s="83"/>
      <c r="T21" s="83"/>
      <c r="U21" s="83"/>
      <c r="V21" s="83"/>
      <c r="W21" s="35"/>
    </row>
    <row r="22" spans="2:23" x14ac:dyDescent="0.35">
      <c r="B22" s="34"/>
      <c r="C22" s="19" t="s">
        <v>27</v>
      </c>
      <c r="D22" s="19"/>
      <c r="E22" s="19"/>
      <c r="F22" s="19"/>
      <c r="G22" s="19"/>
      <c r="H22" s="83">
        <f>H12</f>
        <v>3337180.4662379418</v>
      </c>
      <c r="I22" s="83">
        <f t="shared" ref="I22:V22" si="2">I12</f>
        <v>4449573.9549839227</v>
      </c>
      <c r="J22" s="83">
        <f t="shared" si="2"/>
        <v>4449573.9549839227</v>
      </c>
      <c r="K22" s="83">
        <f t="shared" si="2"/>
        <v>4278436.495176848</v>
      </c>
      <c r="L22" s="83">
        <f t="shared" si="2"/>
        <v>4107299.0353697748</v>
      </c>
      <c r="M22" s="83">
        <f t="shared" si="2"/>
        <v>3936161.5755627006</v>
      </c>
      <c r="N22" s="83">
        <f t="shared" si="2"/>
        <v>3765024.1157556269</v>
      </c>
      <c r="O22" s="83">
        <f t="shared" si="2"/>
        <v>2901089.2282958198</v>
      </c>
      <c r="P22" s="83">
        <f t="shared" si="2"/>
        <v>2515514.4694533758</v>
      </c>
      <c r="Q22" s="83">
        <f t="shared" si="2"/>
        <v>2515514.4694533758</v>
      </c>
      <c r="R22" s="83">
        <f t="shared" si="2"/>
        <v>2515514.4694533758</v>
      </c>
      <c r="S22" s="83">
        <f t="shared" si="2"/>
        <v>2515514.4694533758</v>
      </c>
      <c r="T22" s="83">
        <f t="shared" si="2"/>
        <v>1484565.9163987136</v>
      </c>
      <c r="U22" s="83">
        <f t="shared" si="2"/>
        <v>494855.30546623794</v>
      </c>
      <c r="V22" s="83">
        <f t="shared" si="2"/>
        <v>0</v>
      </c>
      <c r="W22" s="35"/>
    </row>
    <row r="23" spans="2:23" x14ac:dyDescent="0.35">
      <c r="B23" s="34"/>
      <c r="C23" s="19" t="s">
        <v>55</v>
      </c>
      <c r="D23" s="19"/>
      <c r="E23" s="19"/>
      <c r="F23" s="19"/>
      <c r="G23" s="19"/>
      <c r="H23" s="83">
        <f>H19</f>
        <v>1181250</v>
      </c>
      <c r="I23" s="83">
        <f t="shared" ref="I23:V23" si="3">I19</f>
        <v>1181250</v>
      </c>
      <c r="J23" s="83">
        <f t="shared" si="3"/>
        <v>1181250</v>
      </c>
      <c r="K23" s="83">
        <f t="shared" si="3"/>
        <v>1181250</v>
      </c>
      <c r="L23" s="83">
        <f t="shared" si="3"/>
        <v>1181250</v>
      </c>
      <c r="M23" s="83">
        <f t="shared" si="3"/>
        <v>1181250</v>
      </c>
      <c r="N23" s="83">
        <f t="shared" si="3"/>
        <v>1181250</v>
      </c>
      <c r="O23" s="83">
        <f t="shared" si="3"/>
        <v>1101250</v>
      </c>
      <c r="P23" s="83">
        <f t="shared" si="3"/>
        <v>916250</v>
      </c>
      <c r="Q23" s="83">
        <f t="shared" si="3"/>
        <v>916250</v>
      </c>
      <c r="R23" s="83">
        <f t="shared" si="3"/>
        <v>916250</v>
      </c>
      <c r="S23" s="83">
        <f t="shared" si="3"/>
        <v>916250</v>
      </c>
      <c r="T23" s="83">
        <f t="shared" si="3"/>
        <v>567500</v>
      </c>
      <c r="U23" s="83">
        <f t="shared" si="3"/>
        <v>482500</v>
      </c>
      <c r="V23" s="83">
        <f t="shared" si="3"/>
        <v>0</v>
      </c>
      <c r="W23" s="35"/>
    </row>
    <row r="24" spans="2:23" x14ac:dyDescent="0.35">
      <c r="B24" s="34"/>
      <c r="C24" s="19" t="s">
        <v>56</v>
      </c>
      <c r="D24" s="19"/>
      <c r="E24" s="19"/>
      <c r="F24" s="95">
        <f>'Estimates and Assumptions'!$E$45</f>
        <v>300000</v>
      </c>
      <c r="G24" s="19"/>
      <c r="H24" s="83">
        <f>IF(H22&gt;0,$F$24,0)</f>
        <v>300000</v>
      </c>
      <c r="I24" s="83">
        <f t="shared" ref="I24:V24" si="4">IF(I22&gt;0,$F$24,0)</f>
        <v>300000</v>
      </c>
      <c r="J24" s="83">
        <f t="shared" si="4"/>
        <v>300000</v>
      </c>
      <c r="K24" s="83">
        <f t="shared" si="4"/>
        <v>300000</v>
      </c>
      <c r="L24" s="83">
        <f t="shared" si="4"/>
        <v>300000</v>
      </c>
      <c r="M24" s="83">
        <f t="shared" si="4"/>
        <v>300000</v>
      </c>
      <c r="N24" s="83">
        <f t="shared" si="4"/>
        <v>300000</v>
      </c>
      <c r="O24" s="83">
        <f t="shared" si="4"/>
        <v>300000</v>
      </c>
      <c r="P24" s="83">
        <f t="shared" si="4"/>
        <v>300000</v>
      </c>
      <c r="Q24" s="83">
        <f t="shared" si="4"/>
        <v>300000</v>
      </c>
      <c r="R24" s="83">
        <f t="shared" si="4"/>
        <v>300000</v>
      </c>
      <c r="S24" s="83">
        <f t="shared" si="4"/>
        <v>300000</v>
      </c>
      <c r="T24" s="83">
        <f t="shared" si="4"/>
        <v>300000</v>
      </c>
      <c r="U24" s="83">
        <f t="shared" si="4"/>
        <v>300000</v>
      </c>
      <c r="V24" s="83">
        <f t="shared" si="4"/>
        <v>0</v>
      </c>
      <c r="W24" s="35"/>
    </row>
    <row r="25" spans="2:23" x14ac:dyDescent="0.35">
      <c r="B25" s="34"/>
      <c r="C25" s="86" t="s">
        <v>57</v>
      </c>
      <c r="D25" s="19"/>
      <c r="E25" s="19"/>
      <c r="F25" s="19"/>
      <c r="G25" s="19"/>
      <c r="H25" s="83">
        <f>IF(H22&gt;0,Schedules!H17,0)</f>
        <v>483870.96774193546</v>
      </c>
      <c r="I25" s="83">
        <f>IF(I22&gt;0,Schedules!I17,0)</f>
        <v>483870.96774193546</v>
      </c>
      <c r="J25" s="83">
        <f>IF(J22&gt;0,Schedules!J17,0)</f>
        <v>483870.96774193546</v>
      </c>
      <c r="K25" s="83">
        <f>IF(K22&gt;0,Schedules!K17,0)</f>
        <v>483870.96774193546</v>
      </c>
      <c r="L25" s="83">
        <f>IF(L22&gt;0,Schedules!L17,0)</f>
        <v>483870.96774193546</v>
      </c>
      <c r="M25" s="83">
        <f>IF(M22&gt;0,Schedules!M17,0)</f>
        <v>483870.96774193546</v>
      </c>
      <c r="N25" s="83">
        <f>IF(N22&gt;0,Schedules!N17,0)</f>
        <v>483870.96774193546</v>
      </c>
      <c r="O25" s="83">
        <f>IF(O22&gt;0,Schedules!O17,0)</f>
        <v>483870.96774193546</v>
      </c>
      <c r="P25" s="83">
        <f>IF(P22&gt;0,Schedules!P17,0)</f>
        <v>483870.96774193546</v>
      </c>
      <c r="Q25" s="83">
        <f>IF(Q22&gt;0,Schedules!Q17,0)</f>
        <v>483870.96774193546</v>
      </c>
      <c r="R25" s="83">
        <f>IF(R22&gt;0,Schedules!R17,0)</f>
        <v>483870.96774193546</v>
      </c>
      <c r="S25" s="83">
        <f>IF(S22&gt;0,Schedules!S17,0)</f>
        <v>483870.96774193546</v>
      </c>
      <c r="T25" s="83">
        <f>IF(T22&gt;0,Schedules!T17,0)</f>
        <v>483870.96774193546</v>
      </c>
      <c r="U25" s="83">
        <f>IF(U22&gt;0,Schedules!U17,0)</f>
        <v>483870.96774193546</v>
      </c>
      <c r="V25" s="83">
        <f>IF(V22&gt;0,Schedules!V17,0)</f>
        <v>0</v>
      </c>
      <c r="W25" s="35"/>
    </row>
    <row r="26" spans="2:23" x14ac:dyDescent="0.35">
      <c r="B26" s="34"/>
      <c r="C26" s="86" t="s">
        <v>58</v>
      </c>
      <c r="D26" s="19"/>
      <c r="E26" s="19"/>
      <c r="F26" s="19"/>
      <c r="G26" s="19"/>
      <c r="H26" s="83"/>
      <c r="I26" s="83"/>
      <c r="J26" s="83"/>
      <c r="K26" s="83"/>
      <c r="L26" s="83"/>
      <c r="M26" s="83"/>
      <c r="N26" s="83"/>
      <c r="O26" s="83"/>
      <c r="P26" s="83"/>
      <c r="Q26" s="83"/>
      <c r="R26" s="83"/>
      <c r="S26" s="83"/>
      <c r="T26" s="83"/>
      <c r="U26" s="83"/>
      <c r="V26" s="83"/>
      <c r="W26" s="35"/>
    </row>
    <row r="27" spans="2:23" x14ac:dyDescent="0.35">
      <c r="B27" s="34"/>
      <c r="C27" s="87"/>
      <c r="D27" s="19"/>
      <c r="E27" s="19"/>
      <c r="F27" s="19"/>
      <c r="G27" s="19"/>
      <c r="H27" s="83"/>
      <c r="I27" s="83"/>
      <c r="J27" s="83"/>
      <c r="K27" s="83"/>
      <c r="L27" s="83"/>
      <c r="M27" s="83"/>
      <c r="N27" s="83"/>
      <c r="O27" s="83"/>
      <c r="P27" s="83"/>
      <c r="Q27" s="83"/>
      <c r="R27" s="83"/>
      <c r="S27" s="83"/>
      <c r="T27" s="83"/>
      <c r="U27" s="83"/>
      <c r="V27" s="83"/>
      <c r="W27" s="35"/>
    </row>
    <row r="28" spans="2:23" ht="15" thickBot="1" x14ac:dyDescent="0.4">
      <c r="B28" s="34"/>
      <c r="C28" s="88" t="s">
        <v>59</v>
      </c>
      <c r="D28" s="88"/>
      <c r="E28" s="88"/>
      <c r="F28" s="88"/>
      <c r="G28" s="88"/>
      <c r="H28" s="89">
        <f>H22-SUM(H23:H26)</f>
        <v>1372059.4984960062</v>
      </c>
      <c r="I28" s="89">
        <f t="shared" ref="I28:V28" si="5">I22-SUM(I23:I26)</f>
        <v>2484452.9872419871</v>
      </c>
      <c r="J28" s="89">
        <f t="shared" si="5"/>
        <v>2484452.9872419871</v>
      </c>
      <c r="K28" s="89">
        <f t="shared" si="5"/>
        <v>2313315.5274349125</v>
      </c>
      <c r="L28" s="89">
        <f t="shared" si="5"/>
        <v>2142178.0676278393</v>
      </c>
      <c r="M28" s="89">
        <f t="shared" si="5"/>
        <v>1971040.6078207651</v>
      </c>
      <c r="N28" s="89">
        <f t="shared" si="5"/>
        <v>1799903.1480136914</v>
      </c>
      <c r="O28" s="89">
        <f t="shared" si="5"/>
        <v>1015968.2605538843</v>
      </c>
      <c r="P28" s="89">
        <f t="shared" si="5"/>
        <v>815393.50171144027</v>
      </c>
      <c r="Q28" s="89">
        <f t="shared" si="5"/>
        <v>815393.50171144027</v>
      </c>
      <c r="R28" s="89">
        <f t="shared" si="5"/>
        <v>815393.50171144027</v>
      </c>
      <c r="S28" s="89">
        <f t="shared" si="5"/>
        <v>815393.50171144027</v>
      </c>
      <c r="T28" s="89">
        <f t="shared" si="5"/>
        <v>133194.94865677808</v>
      </c>
      <c r="U28" s="89">
        <f t="shared" si="5"/>
        <v>-771515.66227569757</v>
      </c>
      <c r="V28" s="89">
        <f t="shared" si="5"/>
        <v>0</v>
      </c>
      <c r="W28" s="35"/>
    </row>
    <row r="29" spans="2:23" ht="15" thickTop="1" x14ac:dyDescent="0.35">
      <c r="B29" s="34"/>
      <c r="C29" s="19"/>
      <c r="D29" s="19"/>
      <c r="E29" s="19"/>
      <c r="F29" s="19"/>
      <c r="G29" s="19"/>
      <c r="H29" s="83"/>
      <c r="I29" s="83"/>
      <c r="J29" s="83"/>
      <c r="K29" s="83"/>
      <c r="L29" s="83"/>
      <c r="M29" s="83"/>
      <c r="N29" s="83"/>
      <c r="O29" s="83"/>
      <c r="P29" s="83"/>
      <c r="Q29" s="83"/>
      <c r="R29" s="83"/>
      <c r="S29" s="83"/>
      <c r="T29" s="83"/>
      <c r="U29" s="83"/>
      <c r="V29" s="83"/>
      <c r="W29" s="35"/>
    </row>
    <row r="30" spans="2:23" x14ac:dyDescent="0.35">
      <c r="B30" s="34"/>
      <c r="C30" s="19" t="s">
        <v>60</v>
      </c>
      <c r="D30" s="19"/>
      <c r="E30" s="19"/>
      <c r="F30" s="19"/>
      <c r="G30" s="19"/>
      <c r="H30" s="83">
        <f>Schedules!H10</f>
        <v>150000</v>
      </c>
      <c r="I30" s="83">
        <f>Schedules!I10</f>
        <v>140379.78010241984</v>
      </c>
      <c r="J30" s="83">
        <f>Schedules!J10</f>
        <v>130182.34701098489</v>
      </c>
      <c r="K30" s="83">
        <f>Schedules!K10</f>
        <v>119373.06793406383</v>
      </c>
      <c r="L30" s="83">
        <f>Schedules!L10</f>
        <v>107915.23211252752</v>
      </c>
      <c r="M30" s="83">
        <f>Schedules!M10</f>
        <v>95769.926141699019</v>
      </c>
      <c r="N30" s="83">
        <f>Schedules!N10</f>
        <v>82895.90181262081</v>
      </c>
      <c r="O30" s="83">
        <f>Schedules!O10</f>
        <v>69249.436023797913</v>
      </c>
      <c r="P30" s="83">
        <f>Schedules!P10</f>
        <v>54784.182287645635</v>
      </c>
      <c r="Q30" s="83">
        <f>Schedules!Q10</f>
        <v>39451.013327324225</v>
      </c>
      <c r="R30" s="83">
        <f>Schedules!R10</f>
        <v>23197.854229383531</v>
      </c>
      <c r="S30" s="83">
        <f>Schedules!S10</f>
        <v>5969.5055855663941</v>
      </c>
      <c r="T30" s="83">
        <f>Schedules!T10</f>
        <v>0</v>
      </c>
      <c r="U30" s="83">
        <f>Schedules!U10</f>
        <v>0</v>
      </c>
      <c r="V30" s="83">
        <f>Schedules!V10</f>
        <v>0</v>
      </c>
      <c r="W30" s="35"/>
    </row>
    <row r="31" spans="2:23" x14ac:dyDescent="0.35">
      <c r="B31" s="34"/>
      <c r="C31" s="19"/>
      <c r="D31" s="19"/>
      <c r="E31" s="19"/>
      <c r="F31" s="19"/>
      <c r="G31" s="19"/>
      <c r="H31" s="83"/>
      <c r="I31" s="83"/>
      <c r="J31" s="83"/>
      <c r="K31" s="83"/>
      <c r="L31" s="83"/>
      <c r="M31" s="83"/>
      <c r="N31" s="83"/>
      <c r="O31" s="83"/>
      <c r="P31" s="83"/>
      <c r="Q31" s="83"/>
      <c r="R31" s="83"/>
      <c r="S31" s="83"/>
      <c r="T31" s="83"/>
      <c r="U31" s="83"/>
      <c r="V31" s="83"/>
      <c r="W31" s="35"/>
    </row>
    <row r="32" spans="2:23" x14ac:dyDescent="0.35">
      <c r="B32" s="34"/>
      <c r="C32" s="19" t="s">
        <v>64</v>
      </c>
      <c r="D32" s="19"/>
      <c r="E32" s="19"/>
      <c r="F32" s="19"/>
      <c r="G32" s="19"/>
      <c r="H32" s="83">
        <f>H28-H30</f>
        <v>1222059.4984960062</v>
      </c>
      <c r="I32" s="83">
        <f t="shared" ref="I32:V32" si="6">I28-I30</f>
        <v>2344073.2071395675</v>
      </c>
      <c r="J32" s="83">
        <f t="shared" si="6"/>
        <v>2354270.6402310021</v>
      </c>
      <c r="K32" s="83">
        <f t="shared" si="6"/>
        <v>2193942.4595008488</v>
      </c>
      <c r="L32" s="83">
        <f t="shared" si="6"/>
        <v>2034262.8355153117</v>
      </c>
      <c r="M32" s="83">
        <f t="shared" si="6"/>
        <v>1875270.681679066</v>
      </c>
      <c r="N32" s="83">
        <f t="shared" si="6"/>
        <v>1717007.2462010705</v>
      </c>
      <c r="O32" s="83">
        <f t="shared" si="6"/>
        <v>946718.82453008636</v>
      </c>
      <c r="P32" s="83">
        <f t="shared" si="6"/>
        <v>760609.31942379463</v>
      </c>
      <c r="Q32" s="83">
        <f t="shared" si="6"/>
        <v>775942.48838411609</v>
      </c>
      <c r="R32" s="83">
        <f t="shared" si="6"/>
        <v>792195.64748205675</v>
      </c>
      <c r="S32" s="83">
        <f t="shared" si="6"/>
        <v>809423.99612587388</v>
      </c>
      <c r="T32" s="83">
        <f t="shared" si="6"/>
        <v>133194.94865677808</v>
      </c>
      <c r="U32" s="83">
        <f t="shared" si="6"/>
        <v>-771515.66227569757</v>
      </c>
      <c r="V32" s="83">
        <f t="shared" si="6"/>
        <v>0</v>
      </c>
      <c r="W32" s="35"/>
    </row>
    <row r="33" spans="2:23" x14ac:dyDescent="0.35">
      <c r="B33" s="34"/>
      <c r="C33" s="19" t="s">
        <v>61</v>
      </c>
      <c r="D33" s="19"/>
      <c r="E33" s="90">
        <f>'Estimates and Assumptions'!G45</f>
        <v>0.2</v>
      </c>
      <c r="F33" s="19"/>
      <c r="G33" s="19"/>
      <c r="H33" s="83">
        <f>$E$33*H32</f>
        <v>244411.89969920125</v>
      </c>
      <c r="I33" s="83">
        <f t="shared" ref="I33:V33" si="7">$E$33*I32</f>
        <v>468814.64142791351</v>
      </c>
      <c r="J33" s="83">
        <f t="shared" si="7"/>
        <v>470854.12804620044</v>
      </c>
      <c r="K33" s="83">
        <f t="shared" si="7"/>
        <v>438788.49190016976</v>
      </c>
      <c r="L33" s="83">
        <f t="shared" si="7"/>
        <v>406852.56710306235</v>
      </c>
      <c r="M33" s="83">
        <f t="shared" si="7"/>
        <v>375054.13633581321</v>
      </c>
      <c r="N33" s="83">
        <f t="shared" si="7"/>
        <v>343401.44924021413</v>
      </c>
      <c r="O33" s="83">
        <f t="shared" si="7"/>
        <v>189343.76490601728</v>
      </c>
      <c r="P33" s="83">
        <f t="shared" si="7"/>
        <v>152121.86388475893</v>
      </c>
      <c r="Q33" s="83">
        <f t="shared" si="7"/>
        <v>155188.49767682323</v>
      </c>
      <c r="R33" s="83">
        <f t="shared" si="7"/>
        <v>158439.12949641136</v>
      </c>
      <c r="S33" s="83">
        <f t="shared" si="7"/>
        <v>161884.79922517479</v>
      </c>
      <c r="T33" s="83">
        <f t="shared" si="7"/>
        <v>26638.989731355618</v>
      </c>
      <c r="U33" s="83">
        <f t="shared" si="7"/>
        <v>-154303.13245513951</v>
      </c>
      <c r="V33" s="83">
        <f t="shared" si="7"/>
        <v>0</v>
      </c>
      <c r="W33" s="35"/>
    </row>
    <row r="34" spans="2:23" x14ac:dyDescent="0.35">
      <c r="B34" s="34"/>
      <c r="C34" s="19"/>
      <c r="D34" s="19"/>
      <c r="E34" s="19"/>
      <c r="F34" s="19"/>
      <c r="G34" s="19"/>
      <c r="H34" s="83"/>
      <c r="I34" s="83"/>
      <c r="J34" s="83"/>
      <c r="K34" s="83"/>
      <c r="L34" s="83"/>
      <c r="M34" s="83"/>
      <c r="N34" s="83"/>
      <c r="O34" s="83"/>
      <c r="P34" s="83"/>
      <c r="Q34" s="83"/>
      <c r="R34" s="83"/>
      <c r="S34" s="83"/>
      <c r="T34" s="83"/>
      <c r="U34" s="83"/>
      <c r="V34" s="83"/>
      <c r="W34" s="35"/>
    </row>
    <row r="35" spans="2:23" ht="15" thickBot="1" x14ac:dyDescent="0.4">
      <c r="B35" s="34"/>
      <c r="C35" s="88" t="s">
        <v>65</v>
      </c>
      <c r="D35" s="88"/>
      <c r="E35" s="88"/>
      <c r="F35" s="88"/>
      <c r="G35" s="88"/>
      <c r="H35" s="89">
        <f>H32-H33</f>
        <v>977647.59879680502</v>
      </c>
      <c r="I35" s="89">
        <f t="shared" ref="I35:V35" si="8">I32-I33</f>
        <v>1875258.565711654</v>
      </c>
      <c r="J35" s="89">
        <f t="shared" si="8"/>
        <v>1883416.5121848017</v>
      </c>
      <c r="K35" s="89">
        <f t="shared" si="8"/>
        <v>1755153.967600679</v>
      </c>
      <c r="L35" s="89">
        <f t="shared" si="8"/>
        <v>1627410.2684122494</v>
      </c>
      <c r="M35" s="89">
        <f t="shared" si="8"/>
        <v>1500216.5453432528</v>
      </c>
      <c r="N35" s="89">
        <f t="shared" si="8"/>
        <v>1373605.7969608563</v>
      </c>
      <c r="O35" s="89">
        <f t="shared" si="8"/>
        <v>757375.05962406914</v>
      </c>
      <c r="P35" s="89">
        <f t="shared" si="8"/>
        <v>608487.45553903573</v>
      </c>
      <c r="Q35" s="89">
        <f t="shared" si="8"/>
        <v>620753.99070729292</v>
      </c>
      <c r="R35" s="89">
        <f t="shared" si="8"/>
        <v>633756.51798564545</v>
      </c>
      <c r="S35" s="89">
        <f t="shared" si="8"/>
        <v>647539.19690069905</v>
      </c>
      <c r="T35" s="89">
        <f t="shared" si="8"/>
        <v>106555.95892542247</v>
      </c>
      <c r="U35" s="89">
        <f t="shared" si="8"/>
        <v>-617212.52982055803</v>
      </c>
      <c r="V35" s="89">
        <f t="shared" si="8"/>
        <v>0</v>
      </c>
      <c r="W35" s="35"/>
    </row>
    <row r="36" spans="2:23" ht="15" thickTop="1" x14ac:dyDescent="0.35">
      <c r="B36" s="34"/>
      <c r="H36" s="8"/>
      <c r="I36" s="8"/>
      <c r="J36" s="8"/>
      <c r="K36" s="8"/>
      <c r="L36" s="8"/>
      <c r="M36" s="8"/>
      <c r="N36" s="8"/>
      <c r="O36" s="8"/>
      <c r="P36" s="8"/>
      <c r="Q36" s="8"/>
      <c r="R36" s="8"/>
      <c r="S36" s="8"/>
      <c r="T36" s="8"/>
      <c r="U36" s="8"/>
      <c r="V36" s="8"/>
      <c r="W36" s="35"/>
    </row>
    <row r="37" spans="2:23" x14ac:dyDescent="0.35">
      <c r="B37" s="34"/>
      <c r="C37" s="4" t="s">
        <v>66</v>
      </c>
      <c r="D37" s="5"/>
      <c r="E37" s="6"/>
      <c r="F37" s="6"/>
      <c r="G37" s="6"/>
      <c r="H37" s="10"/>
      <c r="I37" s="10"/>
      <c r="J37" s="10"/>
      <c r="K37" s="10"/>
      <c r="L37" s="10"/>
      <c r="M37" s="10"/>
      <c r="N37" s="10"/>
      <c r="O37" s="10"/>
      <c r="P37" s="10"/>
      <c r="Q37" s="10"/>
      <c r="R37" s="10"/>
      <c r="S37" s="10"/>
      <c r="T37" s="10"/>
      <c r="U37" s="10"/>
      <c r="V37" s="10"/>
      <c r="W37" s="35"/>
    </row>
    <row r="38" spans="2:23" ht="9.9" customHeight="1" x14ac:dyDescent="0.35">
      <c r="B38" s="34"/>
      <c r="H38" s="8"/>
      <c r="I38" s="8"/>
      <c r="J38" s="8"/>
      <c r="K38" s="8"/>
      <c r="L38" s="8"/>
      <c r="M38" s="8"/>
      <c r="N38" s="8"/>
      <c r="O38" s="8"/>
      <c r="P38" s="8"/>
      <c r="Q38" s="8"/>
      <c r="R38" s="8"/>
      <c r="S38" s="8"/>
      <c r="T38" s="8"/>
      <c r="U38" s="8"/>
      <c r="V38" s="8"/>
      <c r="W38" s="35"/>
    </row>
    <row r="39" spans="2:23" x14ac:dyDescent="0.35">
      <c r="B39" s="34"/>
      <c r="C39" s="19" t="s">
        <v>65</v>
      </c>
      <c r="D39" s="19"/>
      <c r="E39" s="19"/>
      <c r="F39" s="19"/>
      <c r="G39" s="19"/>
      <c r="H39" s="83">
        <f>H35</f>
        <v>977647.59879680502</v>
      </c>
      <c r="I39" s="83">
        <f t="shared" ref="I39:V39" si="9">I35</f>
        <v>1875258.565711654</v>
      </c>
      <c r="J39" s="83">
        <f t="shared" si="9"/>
        <v>1883416.5121848017</v>
      </c>
      <c r="K39" s="83">
        <f t="shared" si="9"/>
        <v>1755153.967600679</v>
      </c>
      <c r="L39" s="83">
        <f t="shared" si="9"/>
        <v>1627410.2684122494</v>
      </c>
      <c r="M39" s="83">
        <f t="shared" si="9"/>
        <v>1500216.5453432528</v>
      </c>
      <c r="N39" s="83">
        <f t="shared" si="9"/>
        <v>1373605.7969608563</v>
      </c>
      <c r="O39" s="83">
        <f t="shared" si="9"/>
        <v>757375.05962406914</v>
      </c>
      <c r="P39" s="83">
        <f t="shared" si="9"/>
        <v>608487.45553903573</v>
      </c>
      <c r="Q39" s="83">
        <f t="shared" si="9"/>
        <v>620753.99070729292</v>
      </c>
      <c r="R39" s="83">
        <f t="shared" si="9"/>
        <v>633756.51798564545</v>
      </c>
      <c r="S39" s="83">
        <f t="shared" si="9"/>
        <v>647539.19690069905</v>
      </c>
      <c r="T39" s="83">
        <f t="shared" si="9"/>
        <v>106555.95892542247</v>
      </c>
      <c r="U39" s="83">
        <f t="shared" si="9"/>
        <v>-617212.52982055803</v>
      </c>
      <c r="V39" s="96">
        <f t="shared" si="9"/>
        <v>0</v>
      </c>
      <c r="W39" s="35"/>
    </row>
    <row r="40" spans="2:23" x14ac:dyDescent="0.35">
      <c r="B40" s="34"/>
      <c r="C40" s="19" t="s">
        <v>57</v>
      </c>
      <c r="D40" s="19"/>
      <c r="E40" s="19"/>
      <c r="F40" s="19"/>
      <c r="G40" s="19"/>
      <c r="H40" s="83">
        <f>H25</f>
        <v>483870.96774193546</v>
      </c>
      <c r="I40" s="83">
        <f t="shared" ref="I40:V40" si="10">I25</f>
        <v>483870.96774193546</v>
      </c>
      <c r="J40" s="83">
        <f t="shared" si="10"/>
        <v>483870.96774193546</v>
      </c>
      <c r="K40" s="83">
        <f t="shared" si="10"/>
        <v>483870.96774193546</v>
      </c>
      <c r="L40" s="83">
        <f t="shared" si="10"/>
        <v>483870.96774193546</v>
      </c>
      <c r="M40" s="83">
        <f t="shared" si="10"/>
        <v>483870.96774193546</v>
      </c>
      <c r="N40" s="83">
        <f t="shared" si="10"/>
        <v>483870.96774193546</v>
      </c>
      <c r="O40" s="83">
        <f t="shared" si="10"/>
        <v>483870.96774193546</v>
      </c>
      <c r="P40" s="83">
        <f t="shared" si="10"/>
        <v>483870.96774193546</v>
      </c>
      <c r="Q40" s="83">
        <f t="shared" si="10"/>
        <v>483870.96774193546</v>
      </c>
      <c r="R40" s="83">
        <f t="shared" si="10"/>
        <v>483870.96774193546</v>
      </c>
      <c r="S40" s="83">
        <f t="shared" si="10"/>
        <v>483870.96774193546</v>
      </c>
      <c r="T40" s="83">
        <f t="shared" si="10"/>
        <v>483870.96774193546</v>
      </c>
      <c r="U40" s="83">
        <f t="shared" si="10"/>
        <v>483870.96774193546</v>
      </c>
      <c r="V40" s="96">
        <f t="shared" si="10"/>
        <v>0</v>
      </c>
      <c r="W40" s="35"/>
    </row>
    <row r="41" spans="2:23" x14ac:dyDescent="0.35">
      <c r="B41" s="34"/>
      <c r="C41" s="19" t="s">
        <v>67</v>
      </c>
      <c r="D41" s="19"/>
      <c r="E41" s="19"/>
      <c r="F41" s="19"/>
      <c r="G41" s="19"/>
      <c r="H41" s="83">
        <f>-Schedules!H28</f>
        <v>-33371.804662379422</v>
      </c>
      <c r="I41" s="83">
        <f>-Schedules!I28</f>
        <v>-11123.934887459807</v>
      </c>
      <c r="J41" s="83">
        <f>-Schedules!J28</f>
        <v>0</v>
      </c>
      <c r="K41" s="83">
        <f>-Schedules!K28</f>
        <v>1711.3745980707463</v>
      </c>
      <c r="L41" s="83">
        <f>-Schedules!L28</f>
        <v>1711.3745980707317</v>
      </c>
      <c r="M41" s="83">
        <f>-Schedules!M28</f>
        <v>1711.3745980707463</v>
      </c>
      <c r="N41" s="83">
        <f>-Schedules!N28</f>
        <v>1711.3745980707317</v>
      </c>
      <c r="O41" s="83">
        <f>-Schedules!O28</f>
        <v>8639.3488745980721</v>
      </c>
      <c r="P41" s="83">
        <f>-Schedules!P28</f>
        <v>3855.7475884244413</v>
      </c>
      <c r="Q41" s="83">
        <f>-Schedules!Q28</f>
        <v>0</v>
      </c>
      <c r="R41" s="83">
        <f>-Schedules!R28</f>
        <v>0</v>
      </c>
      <c r="S41" s="83">
        <f>-Schedules!S28</f>
        <v>0</v>
      </c>
      <c r="T41" s="83">
        <f>-Schedules!T28</f>
        <v>10309.485530546623</v>
      </c>
      <c r="U41" s="83">
        <f>-Schedules!U28</f>
        <v>9897.1061093247572</v>
      </c>
      <c r="V41" s="96">
        <f>-Schedules!V28</f>
        <v>4948.5530546623795</v>
      </c>
      <c r="W41" s="35"/>
    </row>
    <row r="42" spans="2:23" x14ac:dyDescent="0.35">
      <c r="B42" s="34"/>
      <c r="C42" s="19"/>
      <c r="D42" s="19"/>
      <c r="E42" s="19"/>
      <c r="F42" s="19"/>
      <c r="G42" s="19"/>
      <c r="H42" s="83"/>
      <c r="I42" s="83"/>
      <c r="J42" s="83"/>
      <c r="K42" s="83"/>
      <c r="L42" s="83"/>
      <c r="M42" s="83"/>
      <c r="N42" s="83"/>
      <c r="O42" s="83"/>
      <c r="P42" s="83"/>
      <c r="Q42" s="83"/>
      <c r="R42" s="83"/>
      <c r="S42" s="83"/>
      <c r="T42" s="83"/>
      <c r="U42" s="83"/>
      <c r="V42" s="96"/>
      <c r="W42" s="35"/>
    </row>
    <row r="43" spans="2:23" ht="15" thickBot="1" x14ac:dyDescent="0.4">
      <c r="B43" s="34"/>
      <c r="C43" s="88" t="s">
        <v>68</v>
      </c>
      <c r="D43" s="88"/>
      <c r="E43" s="88"/>
      <c r="F43" s="88"/>
      <c r="G43" s="88"/>
      <c r="H43" s="89">
        <f>SUM(H39:H41)</f>
        <v>1428146.761876361</v>
      </c>
      <c r="I43" s="89">
        <f t="shared" ref="I43:V43" si="11">SUM(I39:I41)</f>
        <v>2348005.5985661293</v>
      </c>
      <c r="J43" s="89">
        <f t="shared" si="11"/>
        <v>2367287.479926737</v>
      </c>
      <c r="K43" s="89">
        <f t="shared" si="11"/>
        <v>2240736.3099406855</v>
      </c>
      <c r="L43" s="89">
        <f t="shared" si="11"/>
        <v>2112992.6107522552</v>
      </c>
      <c r="M43" s="89">
        <f t="shared" si="11"/>
        <v>1985798.8876832591</v>
      </c>
      <c r="N43" s="89">
        <f t="shared" si="11"/>
        <v>1859188.1393008626</v>
      </c>
      <c r="O43" s="89">
        <f t="shared" si="11"/>
        <v>1249885.3762406027</v>
      </c>
      <c r="P43" s="89">
        <f t="shared" si="11"/>
        <v>1096214.1708693956</v>
      </c>
      <c r="Q43" s="89">
        <f t="shared" si="11"/>
        <v>1104624.9584492284</v>
      </c>
      <c r="R43" s="89">
        <f t="shared" si="11"/>
        <v>1117627.485727581</v>
      </c>
      <c r="S43" s="89">
        <f t="shared" si="11"/>
        <v>1131410.1646426346</v>
      </c>
      <c r="T43" s="89">
        <f t="shared" si="11"/>
        <v>600736.41219790454</v>
      </c>
      <c r="U43" s="89">
        <f t="shared" si="11"/>
        <v>-123444.45596929782</v>
      </c>
      <c r="V43" s="97">
        <f t="shared" si="11"/>
        <v>4948.5530546623795</v>
      </c>
      <c r="W43" s="35"/>
    </row>
    <row r="44" spans="2:23" ht="15" thickTop="1" x14ac:dyDescent="0.35">
      <c r="B44" s="34"/>
      <c r="C44" s="19"/>
      <c r="D44" s="19"/>
      <c r="E44" s="19"/>
      <c r="F44" s="19"/>
      <c r="G44" s="19"/>
      <c r="H44" s="82"/>
      <c r="I44" s="82"/>
      <c r="J44" s="82"/>
      <c r="K44" s="82"/>
      <c r="L44" s="82"/>
      <c r="M44" s="82"/>
      <c r="N44" s="82"/>
      <c r="O44" s="82"/>
      <c r="P44" s="82"/>
      <c r="Q44" s="82"/>
      <c r="R44" s="82"/>
      <c r="S44" s="82"/>
      <c r="T44" s="82"/>
      <c r="U44" s="82"/>
      <c r="V44" s="82"/>
      <c r="W44" s="35"/>
    </row>
    <row r="45" spans="2:23" x14ac:dyDescent="0.35">
      <c r="B45" s="34"/>
      <c r="C45" s="19" t="s">
        <v>69</v>
      </c>
      <c r="D45" s="19"/>
      <c r="E45" s="19"/>
      <c r="F45" s="19"/>
      <c r="G45" s="19"/>
      <c r="H45" s="83">
        <f>-Schedules!H18</f>
        <v>-483870.96774193546</v>
      </c>
      <c r="I45" s="83">
        <f>-Schedules!I18</f>
        <v>-483870.96774193546</v>
      </c>
      <c r="J45" s="83">
        <f>-Schedules!J18</f>
        <v>-483870.96774193546</v>
      </c>
      <c r="K45" s="83">
        <f>-Schedules!K18</f>
        <v>-483870.96774193546</v>
      </c>
      <c r="L45" s="83">
        <f>-Schedules!L18</f>
        <v>-483870.96774193546</v>
      </c>
      <c r="M45" s="83">
        <f>-Schedules!M18</f>
        <v>-483870.96774193546</v>
      </c>
      <c r="N45" s="83">
        <f>-Schedules!N18</f>
        <v>-483870.96774193546</v>
      </c>
      <c r="O45" s="83">
        <f>-Schedules!O18</f>
        <v>-483870.96774193546</v>
      </c>
      <c r="P45" s="83">
        <f>-Schedules!P18</f>
        <v>-483870.96774193546</v>
      </c>
      <c r="Q45" s="83">
        <f>-Schedules!Q18</f>
        <v>-483870.96774193546</v>
      </c>
      <c r="R45" s="83">
        <f>-Schedules!R18</f>
        <v>-483870.96774193546</v>
      </c>
      <c r="S45" s="83">
        <f>-Schedules!S18</f>
        <v>-483870.96774193546</v>
      </c>
      <c r="T45" s="83">
        <f>-Schedules!T18</f>
        <v>-483870.96774193546</v>
      </c>
      <c r="U45" s="83">
        <f>-Schedules!U18</f>
        <v>-483870.96774193546</v>
      </c>
      <c r="V45" s="83">
        <f>-Schedules!V18</f>
        <v>0</v>
      </c>
      <c r="W45" s="35"/>
    </row>
    <row r="46" spans="2:23" x14ac:dyDescent="0.35">
      <c r="B46" s="34"/>
      <c r="C46" s="19"/>
      <c r="D46" s="19"/>
      <c r="E46" s="19"/>
      <c r="F46" s="19"/>
      <c r="G46" s="19"/>
      <c r="H46" s="83"/>
      <c r="I46" s="83"/>
      <c r="J46" s="83"/>
      <c r="K46" s="83"/>
      <c r="L46" s="83"/>
      <c r="M46" s="83"/>
      <c r="N46" s="83"/>
      <c r="O46" s="83"/>
      <c r="P46" s="83"/>
      <c r="Q46" s="83"/>
      <c r="R46" s="83"/>
      <c r="S46" s="83"/>
      <c r="T46" s="83"/>
      <c r="U46" s="83"/>
      <c r="V46" s="83"/>
      <c r="W46" s="35"/>
    </row>
    <row r="47" spans="2:23" ht="15" thickBot="1" x14ac:dyDescent="0.4">
      <c r="B47" s="34"/>
      <c r="C47" s="88" t="s">
        <v>70</v>
      </c>
      <c r="D47" s="88"/>
      <c r="E47" s="88"/>
      <c r="F47" s="88"/>
      <c r="G47" s="88"/>
      <c r="H47" s="89">
        <f>SUM(H45)</f>
        <v>-483870.96774193546</v>
      </c>
      <c r="I47" s="89">
        <f t="shared" ref="I47:V47" si="12">SUM(I45)</f>
        <v>-483870.96774193546</v>
      </c>
      <c r="J47" s="89">
        <f t="shared" si="12"/>
        <v>-483870.96774193546</v>
      </c>
      <c r="K47" s="89">
        <f t="shared" si="12"/>
        <v>-483870.96774193546</v>
      </c>
      <c r="L47" s="89">
        <f t="shared" si="12"/>
        <v>-483870.96774193546</v>
      </c>
      <c r="M47" s="89">
        <f t="shared" si="12"/>
        <v>-483870.96774193546</v>
      </c>
      <c r="N47" s="89">
        <f t="shared" si="12"/>
        <v>-483870.96774193546</v>
      </c>
      <c r="O47" s="89">
        <f t="shared" si="12"/>
        <v>-483870.96774193546</v>
      </c>
      <c r="P47" s="89">
        <f t="shared" si="12"/>
        <v>-483870.96774193546</v>
      </c>
      <c r="Q47" s="89">
        <f t="shared" si="12"/>
        <v>-483870.96774193546</v>
      </c>
      <c r="R47" s="89">
        <f t="shared" si="12"/>
        <v>-483870.96774193546</v>
      </c>
      <c r="S47" s="89">
        <f t="shared" si="12"/>
        <v>-483870.96774193546</v>
      </c>
      <c r="T47" s="89">
        <f t="shared" si="12"/>
        <v>-483870.96774193546</v>
      </c>
      <c r="U47" s="89">
        <f t="shared" si="12"/>
        <v>-483870.96774193546</v>
      </c>
      <c r="V47" s="89">
        <f t="shared" si="12"/>
        <v>0</v>
      </c>
      <c r="W47" s="35"/>
    </row>
    <row r="48" spans="2:23" ht="15" thickTop="1" x14ac:dyDescent="0.35">
      <c r="B48" s="34"/>
      <c r="C48" s="19"/>
      <c r="D48" s="19"/>
      <c r="E48" s="19"/>
      <c r="F48" s="19"/>
      <c r="G48" s="19"/>
      <c r="H48" s="83"/>
      <c r="I48" s="83"/>
      <c r="J48" s="83"/>
      <c r="K48" s="83"/>
      <c r="L48" s="83"/>
      <c r="M48" s="83"/>
      <c r="N48" s="83"/>
      <c r="O48" s="83"/>
      <c r="P48" s="83"/>
      <c r="Q48" s="83"/>
      <c r="R48" s="83"/>
      <c r="S48" s="83"/>
      <c r="T48" s="83"/>
      <c r="U48" s="83"/>
      <c r="V48" s="83"/>
      <c r="W48" s="35"/>
    </row>
    <row r="49" spans="2:23" x14ac:dyDescent="0.35">
      <c r="B49" s="34"/>
      <c r="C49" s="19" t="s">
        <v>71</v>
      </c>
      <c r="D49" s="19"/>
      <c r="E49" s="19"/>
      <c r="F49" s="19"/>
      <c r="G49" s="19"/>
      <c r="H49" s="83">
        <f>-Schedules!H11</f>
        <v>-160336.99829300249</v>
      </c>
      <c r="I49" s="83">
        <f>-Schedules!I11</f>
        <v>-169957.21819058264</v>
      </c>
      <c r="J49" s="83">
        <f>-Schedules!J11</f>
        <v>-180154.65128201758</v>
      </c>
      <c r="K49" s="83">
        <f>-Schedules!K11</f>
        <v>-190963.93035893864</v>
      </c>
      <c r="L49" s="83">
        <f>-Schedules!L11</f>
        <v>-202421.76618047495</v>
      </c>
      <c r="M49" s="83">
        <f>-Schedules!M11</f>
        <v>-214567.07215130347</v>
      </c>
      <c r="N49" s="83">
        <f>-Schedules!N11</f>
        <v>-227441.09648038168</v>
      </c>
      <c r="O49" s="83">
        <f>-Schedules!O11</f>
        <v>-241087.56226920459</v>
      </c>
      <c r="P49" s="83">
        <f>-Schedules!P11</f>
        <v>-255552.81600535684</v>
      </c>
      <c r="Q49" s="83">
        <f>-Schedules!Q11</f>
        <v>-270885.98496567825</v>
      </c>
      <c r="R49" s="83">
        <f>-Schedules!R11</f>
        <v>-287139.14406361897</v>
      </c>
      <c r="S49" s="83">
        <f>-Schedules!S11</f>
        <v>-99491.759759439912</v>
      </c>
      <c r="T49" s="83">
        <f>-Schedules!T11</f>
        <v>0</v>
      </c>
      <c r="U49" s="83">
        <f>-Schedules!U11</f>
        <v>0</v>
      </c>
      <c r="V49" s="83">
        <f>-Schedules!V11</f>
        <v>0</v>
      </c>
      <c r="W49" s="35"/>
    </row>
    <row r="50" spans="2:23" x14ac:dyDescent="0.35">
      <c r="B50" s="34"/>
      <c r="C50" s="19" t="s">
        <v>72</v>
      </c>
      <c r="D50" s="19"/>
      <c r="E50" s="19"/>
      <c r="F50" s="19"/>
      <c r="G50" s="19"/>
      <c r="H50" s="83"/>
      <c r="I50" s="83"/>
      <c r="J50" s="83"/>
      <c r="K50" s="83"/>
      <c r="L50" s="83"/>
      <c r="M50" s="83"/>
      <c r="N50" s="83"/>
      <c r="O50" s="83"/>
      <c r="P50" s="83"/>
      <c r="Q50" s="83"/>
      <c r="R50" s="83"/>
      <c r="S50" s="83"/>
      <c r="T50" s="83"/>
      <c r="U50" s="83"/>
      <c r="V50" s="83"/>
      <c r="W50" s="35"/>
    </row>
    <row r="51" spans="2:23" x14ac:dyDescent="0.35">
      <c r="B51" s="34"/>
      <c r="C51" s="19" t="s">
        <v>73</v>
      </c>
      <c r="D51" s="19"/>
      <c r="E51" s="19"/>
      <c r="F51" s="19"/>
      <c r="G51" s="19"/>
      <c r="H51" s="83"/>
      <c r="I51" s="83"/>
      <c r="J51" s="83"/>
      <c r="K51" s="83"/>
      <c r="L51" s="83"/>
      <c r="M51" s="83"/>
      <c r="N51" s="83"/>
      <c r="O51" s="83"/>
      <c r="P51" s="83"/>
      <c r="Q51" s="83"/>
      <c r="R51" s="83"/>
      <c r="S51" s="83"/>
      <c r="T51" s="83"/>
      <c r="U51" s="83"/>
      <c r="V51" s="83"/>
      <c r="W51" s="35"/>
    </row>
    <row r="52" spans="2:23" x14ac:dyDescent="0.35">
      <c r="B52" s="34"/>
      <c r="C52" s="19"/>
      <c r="D52" s="19"/>
      <c r="E52" s="19"/>
      <c r="F52" s="19"/>
      <c r="G52" s="19"/>
      <c r="H52" s="83"/>
      <c r="I52" s="83"/>
      <c r="J52" s="83"/>
      <c r="K52" s="83"/>
      <c r="L52" s="83"/>
      <c r="M52" s="83"/>
      <c r="N52" s="83"/>
      <c r="O52" s="83"/>
      <c r="P52" s="83"/>
      <c r="Q52" s="83"/>
      <c r="R52" s="83"/>
      <c r="S52" s="83"/>
      <c r="T52" s="83"/>
      <c r="U52" s="83"/>
      <c r="V52" s="83"/>
      <c r="W52" s="35"/>
    </row>
    <row r="53" spans="2:23" ht="15" thickBot="1" x14ac:dyDescent="0.4">
      <c r="B53" s="34"/>
      <c r="C53" s="88" t="s">
        <v>74</v>
      </c>
      <c r="D53" s="88"/>
      <c r="E53" s="88"/>
      <c r="F53" s="88"/>
      <c r="G53" s="88"/>
      <c r="H53" s="89">
        <f>SUM(H49:H51)</f>
        <v>-160336.99829300249</v>
      </c>
      <c r="I53" s="89">
        <f t="shared" ref="I53:V53" si="13">SUM(I49:I51)</f>
        <v>-169957.21819058264</v>
      </c>
      <c r="J53" s="89">
        <f t="shared" si="13"/>
        <v>-180154.65128201758</v>
      </c>
      <c r="K53" s="89">
        <f t="shared" si="13"/>
        <v>-190963.93035893864</v>
      </c>
      <c r="L53" s="89">
        <f t="shared" si="13"/>
        <v>-202421.76618047495</v>
      </c>
      <c r="M53" s="89">
        <f t="shared" si="13"/>
        <v>-214567.07215130347</v>
      </c>
      <c r="N53" s="89">
        <f t="shared" si="13"/>
        <v>-227441.09648038168</v>
      </c>
      <c r="O53" s="89">
        <f t="shared" si="13"/>
        <v>-241087.56226920459</v>
      </c>
      <c r="P53" s="89">
        <f t="shared" si="13"/>
        <v>-255552.81600535684</v>
      </c>
      <c r="Q53" s="89">
        <f t="shared" si="13"/>
        <v>-270885.98496567825</v>
      </c>
      <c r="R53" s="89">
        <f t="shared" si="13"/>
        <v>-287139.14406361897</v>
      </c>
      <c r="S53" s="89">
        <f t="shared" si="13"/>
        <v>-99491.759759439912</v>
      </c>
      <c r="T53" s="89">
        <f t="shared" si="13"/>
        <v>0</v>
      </c>
      <c r="U53" s="89">
        <f t="shared" si="13"/>
        <v>0</v>
      </c>
      <c r="V53" s="89">
        <f t="shared" si="13"/>
        <v>0</v>
      </c>
      <c r="W53" s="35"/>
    </row>
    <row r="54" spans="2:23" ht="15" thickTop="1" x14ac:dyDescent="0.35">
      <c r="B54" s="34"/>
      <c r="C54" s="19"/>
      <c r="D54" s="19"/>
      <c r="E54" s="19"/>
      <c r="F54" s="19"/>
      <c r="G54" s="19"/>
      <c r="H54" s="83"/>
      <c r="I54" s="83"/>
      <c r="J54" s="83"/>
      <c r="K54" s="83"/>
      <c r="L54" s="83"/>
      <c r="M54" s="83"/>
      <c r="N54" s="83"/>
      <c r="O54" s="83"/>
      <c r="P54" s="83"/>
      <c r="Q54" s="83"/>
      <c r="R54" s="83"/>
      <c r="S54" s="83"/>
      <c r="T54" s="83"/>
      <c r="U54" s="83"/>
      <c r="V54" s="83"/>
      <c r="W54" s="35"/>
    </row>
    <row r="55" spans="2:23" x14ac:dyDescent="0.35">
      <c r="B55" s="34"/>
      <c r="C55" s="19" t="s">
        <v>96</v>
      </c>
      <c r="D55" s="19"/>
      <c r="E55" s="19"/>
      <c r="F55" s="19"/>
      <c r="G55" s="19" t="s">
        <v>93</v>
      </c>
      <c r="H55" s="83">
        <f>SUM(H53,H47,H43)</f>
        <v>783938.7958414231</v>
      </c>
      <c r="I55" s="83">
        <f>SUM(I53,I47,I43)</f>
        <v>1694177.4126336114</v>
      </c>
      <c r="J55" s="83">
        <f t="shared" ref="J55:V55" si="14">SUM(J53,J47,J43)</f>
        <v>1703261.8609027839</v>
      </c>
      <c r="K55" s="83">
        <f t="shared" si="14"/>
        <v>1565901.4118398114</v>
      </c>
      <c r="L55" s="83">
        <f t="shared" si="14"/>
        <v>1426699.8768298449</v>
      </c>
      <c r="M55" s="83">
        <f t="shared" si="14"/>
        <v>1287360.8477900201</v>
      </c>
      <c r="N55" s="83">
        <f t="shared" si="14"/>
        <v>1147876.0750785454</v>
      </c>
      <c r="O55" s="83">
        <f t="shared" si="14"/>
        <v>524926.84622946265</v>
      </c>
      <c r="P55" s="83">
        <f t="shared" si="14"/>
        <v>356790.38712210325</v>
      </c>
      <c r="Q55" s="83">
        <f t="shared" si="14"/>
        <v>349868.00574161473</v>
      </c>
      <c r="R55" s="83">
        <f t="shared" si="14"/>
        <v>346617.37392202648</v>
      </c>
      <c r="S55" s="83">
        <f t="shared" si="14"/>
        <v>548047.4371412592</v>
      </c>
      <c r="T55" s="83">
        <f t="shared" si="14"/>
        <v>116865.44445596909</v>
      </c>
      <c r="U55" s="83">
        <f t="shared" si="14"/>
        <v>-607315.42371123331</v>
      </c>
      <c r="V55" s="96">
        <f t="shared" si="14"/>
        <v>4948.5530546623795</v>
      </c>
      <c r="W55" s="35"/>
    </row>
    <row r="56" spans="2:23" x14ac:dyDescent="0.35">
      <c r="B56" s="34"/>
      <c r="C56" s="19" t="s">
        <v>97</v>
      </c>
      <c r="D56" s="19"/>
      <c r="E56" s="19"/>
      <c r="F56" s="19"/>
      <c r="G56" s="84">
        <f>'Estimates and Assumptions'!E51</f>
        <v>500000</v>
      </c>
      <c r="H56" s="83">
        <f>G56</f>
        <v>500000</v>
      </c>
      <c r="I56" s="83">
        <f t="shared" ref="I56:V56" si="15">H62</f>
        <v>1283938.7958414231</v>
      </c>
      <c r="J56" s="83">
        <f t="shared" si="15"/>
        <v>2978116.2084750347</v>
      </c>
      <c r="K56" s="83">
        <f t="shared" si="15"/>
        <v>4681378.0693778191</v>
      </c>
      <c r="L56" s="83">
        <f t="shared" si="15"/>
        <v>6247279.4812176302</v>
      </c>
      <c r="M56" s="83">
        <f t="shared" si="15"/>
        <v>7673979.3580474751</v>
      </c>
      <c r="N56" s="83">
        <f t="shared" si="15"/>
        <v>8961340.2058374956</v>
      </c>
      <c r="O56" s="83">
        <f t="shared" si="15"/>
        <v>10109216.280916041</v>
      </c>
      <c r="P56" s="83">
        <f t="shared" si="15"/>
        <v>10634143.127145503</v>
      </c>
      <c r="Q56" s="83">
        <f t="shared" si="15"/>
        <v>10990933.514267607</v>
      </c>
      <c r="R56" s="83">
        <f t="shared" si="15"/>
        <v>11340801.520009222</v>
      </c>
      <c r="S56" s="83">
        <f t="shared" si="15"/>
        <v>11687418.893931247</v>
      </c>
      <c r="T56" s="83">
        <f t="shared" si="15"/>
        <v>12235466.331072506</v>
      </c>
      <c r="U56" s="83">
        <f t="shared" si="15"/>
        <v>12352331.775528474</v>
      </c>
      <c r="V56" s="83">
        <f t="shared" si="15"/>
        <v>11745016.351817241</v>
      </c>
      <c r="W56" s="35"/>
    </row>
    <row r="57" spans="2:23" x14ac:dyDescent="0.35">
      <c r="B57" s="34"/>
      <c r="C57" s="19" t="s">
        <v>98</v>
      </c>
      <c r="D57" s="19"/>
      <c r="E57" s="19"/>
      <c r="F57" s="19"/>
      <c r="G57" s="19"/>
      <c r="H57" s="83">
        <f>SUM(H55:H56)</f>
        <v>1283938.7958414231</v>
      </c>
      <c r="I57" s="83">
        <f t="shared" ref="I57:V57" si="16">SUM(I55:I56)</f>
        <v>2978116.2084750347</v>
      </c>
      <c r="J57" s="83">
        <f t="shared" si="16"/>
        <v>4681378.0693778191</v>
      </c>
      <c r="K57" s="83">
        <f t="shared" si="16"/>
        <v>6247279.4812176302</v>
      </c>
      <c r="L57" s="83">
        <f t="shared" si="16"/>
        <v>7673979.3580474751</v>
      </c>
      <c r="M57" s="83">
        <f t="shared" si="16"/>
        <v>8961340.2058374956</v>
      </c>
      <c r="N57" s="83">
        <f t="shared" si="16"/>
        <v>10109216.280916041</v>
      </c>
      <c r="O57" s="83">
        <f t="shared" si="16"/>
        <v>10634143.127145503</v>
      </c>
      <c r="P57" s="83">
        <f t="shared" si="16"/>
        <v>10990933.514267607</v>
      </c>
      <c r="Q57" s="83">
        <f t="shared" si="16"/>
        <v>11340801.520009222</v>
      </c>
      <c r="R57" s="83">
        <f t="shared" si="16"/>
        <v>11687418.893931247</v>
      </c>
      <c r="S57" s="83">
        <f t="shared" si="16"/>
        <v>12235466.331072506</v>
      </c>
      <c r="T57" s="83">
        <f t="shared" si="16"/>
        <v>12352331.775528474</v>
      </c>
      <c r="U57" s="83">
        <f t="shared" si="16"/>
        <v>11745016.351817241</v>
      </c>
      <c r="V57" s="83">
        <f t="shared" si="16"/>
        <v>11749964.904871903</v>
      </c>
      <c r="W57" s="35"/>
    </row>
    <row r="58" spans="2:23" x14ac:dyDescent="0.35">
      <c r="B58" s="34"/>
      <c r="H58" s="8"/>
      <c r="I58" s="8"/>
      <c r="J58" s="8"/>
      <c r="K58" s="8"/>
      <c r="L58" s="8"/>
      <c r="M58" s="8"/>
      <c r="N58" s="8"/>
      <c r="O58" s="8"/>
      <c r="P58" s="8"/>
      <c r="Q58" s="8"/>
      <c r="R58" s="8"/>
      <c r="S58" s="8"/>
      <c r="T58" s="8"/>
      <c r="U58" s="8"/>
      <c r="V58" s="8"/>
      <c r="W58" s="35"/>
    </row>
    <row r="59" spans="2:23" x14ac:dyDescent="0.35">
      <c r="B59" s="34"/>
      <c r="C59" s="4" t="s">
        <v>75</v>
      </c>
      <c r="D59" s="5"/>
      <c r="E59" s="6"/>
      <c r="F59" s="6"/>
      <c r="G59" s="6"/>
      <c r="H59" s="10"/>
      <c r="I59" s="10"/>
      <c r="J59" s="10"/>
      <c r="K59" s="10"/>
      <c r="L59" s="10"/>
      <c r="M59" s="10"/>
      <c r="N59" s="10"/>
      <c r="O59" s="10"/>
      <c r="P59" s="10"/>
      <c r="Q59" s="10"/>
      <c r="R59" s="10"/>
      <c r="S59" s="10"/>
      <c r="T59" s="10"/>
      <c r="U59" s="10"/>
      <c r="V59" s="10"/>
      <c r="W59" s="35"/>
    </row>
    <row r="60" spans="2:23" ht="9.9" customHeight="1" x14ac:dyDescent="0.35">
      <c r="B60" s="34"/>
      <c r="H60" s="8"/>
      <c r="I60" s="8"/>
      <c r="J60" s="8"/>
      <c r="K60" s="8"/>
      <c r="L60" s="8"/>
      <c r="M60" s="8"/>
      <c r="N60" s="8"/>
      <c r="O60" s="8"/>
      <c r="P60" s="8"/>
      <c r="Q60" s="8"/>
      <c r="R60" s="8"/>
      <c r="S60" s="8"/>
      <c r="T60" s="8"/>
      <c r="U60" s="8"/>
      <c r="V60" s="8"/>
      <c r="W60" s="35"/>
    </row>
    <row r="61" spans="2:23" x14ac:dyDescent="0.35">
      <c r="B61" s="34"/>
      <c r="C61" s="19" t="s">
        <v>76</v>
      </c>
      <c r="D61" s="19"/>
      <c r="E61" s="19"/>
      <c r="F61" s="19"/>
      <c r="G61" s="19"/>
      <c r="H61" s="83"/>
      <c r="I61" s="83"/>
      <c r="J61" s="83"/>
      <c r="K61" s="83"/>
      <c r="L61" s="83"/>
      <c r="M61" s="83"/>
      <c r="N61" s="83"/>
      <c r="O61" s="83"/>
      <c r="P61" s="83"/>
      <c r="Q61" s="83"/>
      <c r="R61" s="83"/>
      <c r="S61" s="83"/>
      <c r="T61" s="83"/>
      <c r="U61" s="83"/>
      <c r="V61" s="83"/>
      <c r="W61" s="35"/>
    </row>
    <row r="62" spans="2:23" x14ac:dyDescent="0.35">
      <c r="B62" s="34"/>
      <c r="C62" s="19"/>
      <c r="D62" s="19" t="s">
        <v>77</v>
      </c>
      <c r="E62" s="19"/>
      <c r="F62" s="19"/>
      <c r="G62" s="19"/>
      <c r="H62" s="83">
        <f>H57</f>
        <v>1283938.7958414231</v>
      </c>
      <c r="I62" s="83">
        <f t="shared" ref="I62:V62" si="17">I57</f>
        <v>2978116.2084750347</v>
      </c>
      <c r="J62" s="83">
        <f t="shared" si="17"/>
        <v>4681378.0693778191</v>
      </c>
      <c r="K62" s="83">
        <f t="shared" si="17"/>
        <v>6247279.4812176302</v>
      </c>
      <c r="L62" s="83">
        <f t="shared" si="17"/>
        <v>7673979.3580474751</v>
      </c>
      <c r="M62" s="83">
        <f t="shared" si="17"/>
        <v>8961340.2058374956</v>
      </c>
      <c r="N62" s="83">
        <f t="shared" si="17"/>
        <v>10109216.280916041</v>
      </c>
      <c r="O62" s="83">
        <f t="shared" si="17"/>
        <v>10634143.127145503</v>
      </c>
      <c r="P62" s="83">
        <f t="shared" si="17"/>
        <v>10990933.514267607</v>
      </c>
      <c r="Q62" s="83">
        <f t="shared" si="17"/>
        <v>11340801.520009222</v>
      </c>
      <c r="R62" s="83">
        <f t="shared" si="17"/>
        <v>11687418.893931247</v>
      </c>
      <c r="S62" s="83">
        <f t="shared" si="17"/>
        <v>12235466.331072506</v>
      </c>
      <c r="T62" s="83">
        <f t="shared" si="17"/>
        <v>12352331.775528474</v>
      </c>
      <c r="U62" s="83">
        <f t="shared" si="17"/>
        <v>11745016.351817241</v>
      </c>
      <c r="V62" s="83">
        <f t="shared" si="17"/>
        <v>11749964.904871903</v>
      </c>
      <c r="W62" s="35"/>
    </row>
    <row r="63" spans="2:23" x14ac:dyDescent="0.35">
      <c r="B63" s="34"/>
      <c r="C63" s="19"/>
      <c r="D63" s="19" t="s">
        <v>78</v>
      </c>
      <c r="E63" s="19"/>
      <c r="F63" s="19"/>
      <c r="G63" s="19"/>
      <c r="H63" s="83">
        <f>Schedules!H23</f>
        <v>33371.804662379422</v>
      </c>
      <c r="I63" s="83">
        <f>Schedules!I23</f>
        <v>44495.739549839229</v>
      </c>
      <c r="J63" s="83">
        <f>Schedules!J23</f>
        <v>44495.739549839229</v>
      </c>
      <c r="K63" s="83">
        <f>Schedules!K23</f>
        <v>42784.364951768483</v>
      </c>
      <c r="L63" s="83">
        <f>Schedules!L23</f>
        <v>41072.990353697751</v>
      </c>
      <c r="M63" s="83">
        <f>Schedules!M23</f>
        <v>39361.615755627005</v>
      </c>
      <c r="N63" s="83">
        <f>Schedules!N23</f>
        <v>37650.241157556273</v>
      </c>
      <c r="O63" s="83">
        <f>Schedules!O23</f>
        <v>29010.892282958201</v>
      </c>
      <c r="P63" s="83">
        <f>Schedules!P23</f>
        <v>25155.144694533759</v>
      </c>
      <c r="Q63" s="83">
        <f>Schedules!Q23</f>
        <v>25155.144694533759</v>
      </c>
      <c r="R63" s="83">
        <f>Schedules!R23</f>
        <v>25155.144694533759</v>
      </c>
      <c r="S63" s="83">
        <f>Schedules!S23</f>
        <v>25155.144694533759</v>
      </c>
      <c r="T63" s="83">
        <f>Schedules!T23</f>
        <v>14845.659163987137</v>
      </c>
      <c r="U63" s="83">
        <f>Schedules!U23</f>
        <v>4948.5530546623795</v>
      </c>
      <c r="V63" s="83">
        <f>Schedules!V23</f>
        <v>0</v>
      </c>
      <c r="W63" s="35"/>
    </row>
    <row r="64" spans="2:23" x14ac:dyDescent="0.35">
      <c r="B64" s="34"/>
      <c r="C64" s="19"/>
      <c r="D64" s="19" t="s">
        <v>79</v>
      </c>
      <c r="E64" s="19"/>
      <c r="F64" s="19"/>
      <c r="G64" s="19"/>
      <c r="H64" s="83">
        <f>Schedules!H24</f>
        <v>33371.804662379422</v>
      </c>
      <c r="I64" s="83">
        <f>Schedules!I24</f>
        <v>44495.739549839229</v>
      </c>
      <c r="J64" s="83">
        <f>Schedules!J24</f>
        <v>44495.739549839229</v>
      </c>
      <c r="K64" s="83">
        <f>Schedules!K24</f>
        <v>42784.364951768483</v>
      </c>
      <c r="L64" s="83">
        <f>Schedules!L24</f>
        <v>41072.990353697751</v>
      </c>
      <c r="M64" s="83">
        <f>Schedules!M24</f>
        <v>39361.615755627005</v>
      </c>
      <c r="N64" s="83">
        <f>Schedules!N24</f>
        <v>37650.241157556273</v>
      </c>
      <c r="O64" s="83">
        <f>Schedules!O24</f>
        <v>29010.892282958201</v>
      </c>
      <c r="P64" s="83">
        <f>Schedules!P24</f>
        <v>25155.144694533759</v>
      </c>
      <c r="Q64" s="83">
        <f>Schedules!Q24</f>
        <v>25155.144694533759</v>
      </c>
      <c r="R64" s="83">
        <f>Schedules!R24</f>
        <v>25155.144694533759</v>
      </c>
      <c r="S64" s="83">
        <f>Schedules!S24</f>
        <v>25155.144694533759</v>
      </c>
      <c r="T64" s="83">
        <f>Schedules!T24</f>
        <v>14845.659163987137</v>
      </c>
      <c r="U64" s="83">
        <f>Schedules!U24</f>
        <v>4948.5530546623795</v>
      </c>
      <c r="V64" s="83">
        <f>Schedules!V24</f>
        <v>0</v>
      </c>
      <c r="W64" s="35"/>
    </row>
    <row r="65" spans="2:23" x14ac:dyDescent="0.35">
      <c r="B65" s="34"/>
      <c r="C65" s="19"/>
      <c r="D65" s="19"/>
      <c r="E65" s="19"/>
      <c r="F65" s="19"/>
      <c r="G65" s="19"/>
      <c r="H65" s="83"/>
      <c r="I65" s="83"/>
      <c r="J65" s="83"/>
      <c r="K65" s="83"/>
      <c r="L65" s="83"/>
      <c r="M65" s="83"/>
      <c r="N65" s="83"/>
      <c r="O65" s="83"/>
      <c r="P65" s="83"/>
      <c r="Q65" s="83"/>
      <c r="R65" s="83"/>
      <c r="S65" s="83"/>
      <c r="T65" s="83"/>
      <c r="U65" s="83"/>
      <c r="V65" s="83"/>
      <c r="W65" s="35"/>
    </row>
    <row r="66" spans="2:23" x14ac:dyDescent="0.35">
      <c r="B66" s="34"/>
      <c r="C66" s="19" t="s">
        <v>80</v>
      </c>
      <c r="D66" s="19"/>
      <c r="E66" s="19"/>
      <c r="F66" s="19"/>
      <c r="G66" s="83"/>
      <c r="H66" s="83">
        <f>SUM(H62:H64)</f>
        <v>1350682.405166182</v>
      </c>
      <c r="I66" s="83">
        <f t="shared" ref="I66:V66" si="18">SUM(I62:I64)</f>
        <v>3067107.6875747135</v>
      </c>
      <c r="J66" s="83">
        <f t="shared" si="18"/>
        <v>4770369.548477497</v>
      </c>
      <c r="K66" s="83">
        <f t="shared" si="18"/>
        <v>6332848.211121168</v>
      </c>
      <c r="L66" s="83">
        <f t="shared" si="18"/>
        <v>7756125.3387548709</v>
      </c>
      <c r="M66" s="83">
        <f t="shared" si="18"/>
        <v>9040063.4373487495</v>
      </c>
      <c r="N66" s="83">
        <f t="shared" si="18"/>
        <v>10184516.763231153</v>
      </c>
      <c r="O66" s="83">
        <f t="shared" si="18"/>
        <v>10692164.911711421</v>
      </c>
      <c r="P66" s="83">
        <f t="shared" si="18"/>
        <v>11041243.803656673</v>
      </c>
      <c r="Q66" s="83">
        <f t="shared" si="18"/>
        <v>11391111.809398288</v>
      </c>
      <c r="R66" s="83">
        <f t="shared" si="18"/>
        <v>11737729.183320314</v>
      </c>
      <c r="S66" s="83">
        <f t="shared" si="18"/>
        <v>12285776.620461572</v>
      </c>
      <c r="T66" s="83">
        <f t="shared" si="18"/>
        <v>12382023.093856448</v>
      </c>
      <c r="U66" s="83">
        <f t="shared" si="18"/>
        <v>11754913.457926566</v>
      </c>
      <c r="V66" s="83">
        <f t="shared" si="18"/>
        <v>11749964.904871903</v>
      </c>
      <c r="W66" s="35"/>
    </row>
    <row r="67" spans="2:23" x14ac:dyDescent="0.35">
      <c r="B67" s="34"/>
      <c r="C67" s="19"/>
      <c r="D67" s="19"/>
      <c r="E67" s="19"/>
      <c r="F67" s="19"/>
      <c r="G67" s="19"/>
      <c r="H67" s="83"/>
      <c r="I67" s="83"/>
      <c r="J67" s="83"/>
      <c r="K67" s="83"/>
      <c r="L67" s="83"/>
      <c r="M67" s="83"/>
      <c r="N67" s="83"/>
      <c r="O67" s="83"/>
      <c r="P67" s="83"/>
      <c r="Q67" s="83"/>
      <c r="R67" s="83"/>
      <c r="S67" s="83"/>
      <c r="T67" s="83"/>
      <c r="U67" s="83"/>
      <c r="V67" s="83"/>
      <c r="W67" s="35"/>
    </row>
    <row r="68" spans="2:23" x14ac:dyDescent="0.35">
      <c r="B68" s="34"/>
      <c r="C68" s="19"/>
      <c r="D68" s="19" t="s">
        <v>81</v>
      </c>
      <c r="E68" s="19"/>
      <c r="F68" s="19"/>
      <c r="G68" s="19"/>
      <c r="H68" s="83">
        <f>Schedules!H19</f>
        <v>5000000</v>
      </c>
      <c r="I68" s="83">
        <f>Schedules!I19</f>
        <v>5000000</v>
      </c>
      <c r="J68" s="83">
        <f>Schedules!J19</f>
        <v>5000000</v>
      </c>
      <c r="K68" s="83">
        <f>Schedules!K19</f>
        <v>5000000</v>
      </c>
      <c r="L68" s="83">
        <f>Schedules!L19</f>
        <v>5000000</v>
      </c>
      <c r="M68" s="83">
        <f>Schedules!M19</f>
        <v>5000000</v>
      </c>
      <c r="N68" s="83">
        <f>Schedules!N19</f>
        <v>5000000</v>
      </c>
      <c r="O68" s="83">
        <f>Schedules!O19</f>
        <v>5000000</v>
      </c>
      <c r="P68" s="83">
        <f>Schedules!P19</f>
        <v>5000000</v>
      </c>
      <c r="Q68" s="83">
        <f>Schedules!Q19</f>
        <v>5000000</v>
      </c>
      <c r="R68" s="83">
        <f>Schedules!R19</f>
        <v>5000000</v>
      </c>
      <c r="S68" s="83">
        <f>Schedules!S19</f>
        <v>5000000</v>
      </c>
      <c r="T68" s="83">
        <f>Schedules!T19</f>
        <v>5000000</v>
      </c>
      <c r="U68" s="83">
        <f>Schedules!U19</f>
        <v>5000000</v>
      </c>
      <c r="V68" s="83">
        <f>Schedules!V19</f>
        <v>5000000</v>
      </c>
      <c r="W68" s="35"/>
    </row>
    <row r="69" spans="2:23" x14ac:dyDescent="0.35">
      <c r="B69" s="34"/>
      <c r="C69" s="19"/>
      <c r="D69" s="19"/>
      <c r="E69" s="19"/>
      <c r="F69" s="19"/>
      <c r="G69" s="19"/>
      <c r="H69" s="83"/>
      <c r="I69" s="83"/>
      <c r="J69" s="83"/>
      <c r="K69" s="83"/>
      <c r="L69" s="83"/>
      <c r="M69" s="83"/>
      <c r="N69" s="83"/>
      <c r="O69" s="83"/>
      <c r="P69" s="83"/>
      <c r="Q69" s="83"/>
      <c r="R69" s="83"/>
      <c r="S69" s="83"/>
      <c r="T69" s="83"/>
      <c r="U69" s="83"/>
      <c r="V69" s="83"/>
      <c r="W69" s="35"/>
    </row>
    <row r="70" spans="2:23" ht="15" thickBot="1" x14ac:dyDescent="0.4">
      <c r="B70" s="34"/>
      <c r="C70" s="88" t="s">
        <v>82</v>
      </c>
      <c r="D70" s="88"/>
      <c r="E70" s="88"/>
      <c r="F70" s="88"/>
      <c r="G70" s="89"/>
      <c r="H70" s="89">
        <f>SUM(H66,H68)</f>
        <v>6350682.4051661817</v>
      </c>
      <c r="I70" s="89">
        <f t="shared" ref="I70:V70" si="19">SUM(I66,I68)</f>
        <v>8067107.6875747135</v>
      </c>
      <c r="J70" s="89">
        <f t="shared" si="19"/>
        <v>9770369.548477497</v>
      </c>
      <c r="K70" s="89">
        <f t="shared" si="19"/>
        <v>11332848.211121168</v>
      </c>
      <c r="L70" s="89">
        <f t="shared" si="19"/>
        <v>12756125.33875487</v>
      </c>
      <c r="M70" s="89">
        <f t="shared" si="19"/>
        <v>14040063.437348749</v>
      </c>
      <c r="N70" s="89">
        <f t="shared" si="19"/>
        <v>15184516.763231153</v>
      </c>
      <c r="O70" s="89">
        <f t="shared" si="19"/>
        <v>15692164.911711421</v>
      </c>
      <c r="P70" s="89">
        <f t="shared" si="19"/>
        <v>16041243.803656673</v>
      </c>
      <c r="Q70" s="89">
        <f t="shared" si="19"/>
        <v>16391111.809398288</v>
      </c>
      <c r="R70" s="89">
        <f t="shared" si="19"/>
        <v>16737729.183320314</v>
      </c>
      <c r="S70" s="89">
        <f t="shared" si="19"/>
        <v>17285776.620461572</v>
      </c>
      <c r="T70" s="89">
        <f t="shared" si="19"/>
        <v>17382023.093856446</v>
      </c>
      <c r="U70" s="89">
        <f t="shared" si="19"/>
        <v>16754913.457926566</v>
      </c>
      <c r="V70" s="89">
        <f t="shared" si="19"/>
        <v>16749964.904871903</v>
      </c>
      <c r="W70" s="35"/>
    </row>
    <row r="71" spans="2:23" ht="15" thickTop="1" x14ac:dyDescent="0.35">
      <c r="B71" s="34"/>
      <c r="C71" s="19"/>
      <c r="D71" s="19"/>
      <c r="E71" s="19"/>
      <c r="F71" s="19"/>
      <c r="G71" s="19"/>
      <c r="H71" s="83"/>
      <c r="I71" s="83"/>
      <c r="J71" s="83"/>
      <c r="K71" s="83"/>
      <c r="L71" s="83"/>
      <c r="M71" s="83"/>
      <c r="N71" s="83"/>
      <c r="O71" s="83"/>
      <c r="P71" s="83"/>
      <c r="Q71" s="83"/>
      <c r="R71" s="83"/>
      <c r="S71" s="83"/>
      <c r="T71" s="83"/>
      <c r="U71" s="83"/>
      <c r="V71" s="83"/>
      <c r="W71" s="35"/>
    </row>
    <row r="72" spans="2:23" x14ac:dyDescent="0.35">
      <c r="B72" s="34"/>
      <c r="C72" s="19" t="s">
        <v>83</v>
      </c>
      <c r="D72" s="19"/>
      <c r="E72" s="19"/>
      <c r="F72" s="19"/>
      <c r="G72" s="19"/>
      <c r="H72" s="83"/>
      <c r="I72" s="83"/>
      <c r="J72" s="83"/>
      <c r="K72" s="83"/>
      <c r="L72" s="83"/>
      <c r="M72" s="83"/>
      <c r="N72" s="83"/>
      <c r="O72" s="83"/>
      <c r="P72" s="83"/>
      <c r="Q72" s="83"/>
      <c r="R72" s="83"/>
      <c r="S72" s="83"/>
      <c r="T72" s="83"/>
      <c r="U72" s="83"/>
      <c r="V72" s="83"/>
      <c r="W72" s="35"/>
    </row>
    <row r="73" spans="2:23" x14ac:dyDescent="0.35">
      <c r="B73" s="34"/>
      <c r="C73" s="19"/>
      <c r="D73" s="19" t="s">
        <v>84</v>
      </c>
      <c r="E73" s="19"/>
      <c r="F73" s="19"/>
      <c r="G73" s="19"/>
      <c r="H73" s="83">
        <f>Schedules!H25</f>
        <v>33371.804662379422</v>
      </c>
      <c r="I73" s="83">
        <f>Schedules!I25</f>
        <v>44495.739549839229</v>
      </c>
      <c r="J73" s="83">
        <f>Schedules!J25</f>
        <v>44495.739549839229</v>
      </c>
      <c r="K73" s="83">
        <f>Schedules!K25</f>
        <v>42784.364951768483</v>
      </c>
      <c r="L73" s="83">
        <f>Schedules!L25</f>
        <v>41072.990353697751</v>
      </c>
      <c r="M73" s="83">
        <f>Schedules!M25</f>
        <v>39361.615755627005</v>
      </c>
      <c r="N73" s="83">
        <f>Schedules!N25</f>
        <v>37650.241157556273</v>
      </c>
      <c r="O73" s="83">
        <f>Schedules!O25</f>
        <v>29010.892282958201</v>
      </c>
      <c r="P73" s="83">
        <f>Schedules!P25</f>
        <v>25155.144694533759</v>
      </c>
      <c r="Q73" s="83">
        <f>Schedules!Q25</f>
        <v>25155.144694533759</v>
      </c>
      <c r="R73" s="83">
        <f>Schedules!R25</f>
        <v>25155.144694533759</v>
      </c>
      <c r="S73" s="83">
        <f>Schedules!S25</f>
        <v>25155.144694533759</v>
      </c>
      <c r="T73" s="83">
        <f>Schedules!T25</f>
        <v>14845.659163987137</v>
      </c>
      <c r="U73" s="83">
        <f>Schedules!U25</f>
        <v>4948.5530546623795</v>
      </c>
      <c r="V73" s="83">
        <f>Schedules!V25</f>
        <v>0</v>
      </c>
      <c r="W73" s="35"/>
    </row>
    <row r="74" spans="2:23" x14ac:dyDescent="0.35">
      <c r="B74" s="34"/>
      <c r="C74" s="19"/>
      <c r="D74" s="19"/>
      <c r="E74" s="19"/>
      <c r="F74" s="19"/>
      <c r="G74" s="19"/>
      <c r="H74" s="83"/>
      <c r="I74" s="83"/>
      <c r="J74" s="83"/>
      <c r="K74" s="83"/>
      <c r="L74" s="83"/>
      <c r="M74" s="83"/>
      <c r="N74" s="83"/>
      <c r="O74" s="83"/>
      <c r="P74" s="83"/>
      <c r="Q74" s="83"/>
      <c r="R74" s="83"/>
      <c r="S74" s="83"/>
      <c r="T74" s="83"/>
      <c r="U74" s="83"/>
      <c r="V74" s="83"/>
      <c r="W74" s="35"/>
    </row>
    <row r="75" spans="2:23" x14ac:dyDescent="0.35">
      <c r="B75" s="34"/>
      <c r="C75" s="19" t="s">
        <v>85</v>
      </c>
      <c r="D75" s="19"/>
      <c r="E75" s="19"/>
      <c r="F75" s="19"/>
      <c r="G75" s="96"/>
      <c r="H75" s="83">
        <f>SUM(H73)</f>
        <v>33371.804662379422</v>
      </c>
      <c r="I75" s="83">
        <f t="shared" ref="I75:V75" si="20">SUM(I73)</f>
        <v>44495.739549839229</v>
      </c>
      <c r="J75" s="83">
        <f t="shared" si="20"/>
        <v>44495.739549839229</v>
      </c>
      <c r="K75" s="83">
        <f t="shared" si="20"/>
        <v>42784.364951768483</v>
      </c>
      <c r="L75" s="83">
        <f t="shared" si="20"/>
        <v>41072.990353697751</v>
      </c>
      <c r="M75" s="83">
        <f t="shared" si="20"/>
        <v>39361.615755627005</v>
      </c>
      <c r="N75" s="83">
        <f t="shared" si="20"/>
        <v>37650.241157556273</v>
      </c>
      <c r="O75" s="83">
        <f t="shared" si="20"/>
        <v>29010.892282958201</v>
      </c>
      <c r="P75" s="83">
        <f t="shared" si="20"/>
        <v>25155.144694533759</v>
      </c>
      <c r="Q75" s="83">
        <f t="shared" si="20"/>
        <v>25155.144694533759</v>
      </c>
      <c r="R75" s="83">
        <f t="shared" si="20"/>
        <v>25155.144694533759</v>
      </c>
      <c r="S75" s="83">
        <f t="shared" si="20"/>
        <v>25155.144694533759</v>
      </c>
      <c r="T75" s="83">
        <f t="shared" si="20"/>
        <v>14845.659163987137</v>
      </c>
      <c r="U75" s="83">
        <f t="shared" si="20"/>
        <v>4948.5530546623795</v>
      </c>
      <c r="V75" s="83">
        <f t="shared" si="20"/>
        <v>0</v>
      </c>
      <c r="W75" s="35"/>
    </row>
    <row r="76" spans="2:23" x14ac:dyDescent="0.35">
      <c r="B76" s="34"/>
      <c r="C76" s="19"/>
      <c r="D76" s="19"/>
      <c r="E76" s="19"/>
      <c r="F76" s="19"/>
      <c r="G76" s="19"/>
      <c r="H76" s="83"/>
      <c r="I76" s="83"/>
      <c r="J76" s="83"/>
      <c r="K76" s="83"/>
      <c r="L76" s="83"/>
      <c r="M76" s="83"/>
      <c r="N76" s="83"/>
      <c r="O76" s="83"/>
      <c r="P76" s="83"/>
      <c r="Q76" s="83"/>
      <c r="R76" s="83"/>
      <c r="S76" s="83"/>
      <c r="T76" s="83"/>
      <c r="U76" s="83"/>
      <c r="V76" s="83"/>
      <c r="W76" s="35"/>
    </row>
    <row r="77" spans="2:23" x14ac:dyDescent="0.35">
      <c r="B77" s="34"/>
      <c r="C77" s="19"/>
      <c r="D77" s="19" t="s">
        <v>86</v>
      </c>
      <c r="E77" s="19"/>
      <c r="F77" s="19"/>
      <c r="G77" s="19"/>
      <c r="H77" s="83">
        <f>Schedules!H12</f>
        <v>2339663.0017069974</v>
      </c>
      <c r="I77" s="83">
        <f>Schedules!I12</f>
        <v>2169705.7835164149</v>
      </c>
      <c r="J77" s="83">
        <f>Schedules!J12</f>
        <v>1989551.1322343973</v>
      </c>
      <c r="K77" s="83">
        <f>Schedules!K12</f>
        <v>1798587.2018754587</v>
      </c>
      <c r="L77" s="83">
        <f>Schedules!L12</f>
        <v>1596165.4356949837</v>
      </c>
      <c r="M77" s="83">
        <f>Schedules!M12</f>
        <v>1381598.3635436802</v>
      </c>
      <c r="N77" s="83">
        <f>Schedules!N12</f>
        <v>1154157.2670632985</v>
      </c>
      <c r="O77" s="83">
        <f>Schedules!O12</f>
        <v>913069.70479409397</v>
      </c>
      <c r="P77" s="83">
        <f>Schedules!P12</f>
        <v>657516.88878873712</v>
      </c>
      <c r="Q77" s="83">
        <f>Schedules!Q12</f>
        <v>386630.90382305888</v>
      </c>
      <c r="R77" s="83">
        <f>Schedules!R12</f>
        <v>99491.759759439912</v>
      </c>
      <c r="S77" s="83">
        <f>Schedules!S12</f>
        <v>0</v>
      </c>
      <c r="T77" s="83">
        <f>Schedules!T12</f>
        <v>0</v>
      </c>
      <c r="U77" s="83">
        <f>Schedules!U12</f>
        <v>0</v>
      </c>
      <c r="V77" s="83">
        <f>Schedules!V12</f>
        <v>0</v>
      </c>
      <c r="W77" s="35"/>
    </row>
    <row r="78" spans="2:23" x14ac:dyDescent="0.35">
      <c r="B78" s="34"/>
      <c r="C78" s="19"/>
      <c r="D78" s="19"/>
      <c r="E78" s="19"/>
      <c r="F78" s="19"/>
      <c r="G78" s="19"/>
      <c r="H78" s="83"/>
      <c r="I78" s="83"/>
      <c r="J78" s="83"/>
      <c r="K78" s="83"/>
      <c r="L78" s="83"/>
      <c r="M78" s="83"/>
      <c r="N78" s="83"/>
      <c r="O78" s="83"/>
      <c r="P78" s="83"/>
      <c r="Q78" s="83"/>
      <c r="R78" s="83"/>
      <c r="S78" s="83"/>
      <c r="T78" s="83"/>
      <c r="U78" s="83"/>
      <c r="V78" s="83"/>
      <c r="W78" s="35"/>
    </row>
    <row r="79" spans="2:23" x14ac:dyDescent="0.35">
      <c r="B79" s="34"/>
      <c r="C79" s="19"/>
      <c r="D79" s="19"/>
      <c r="E79" s="19"/>
      <c r="F79" s="19"/>
      <c r="G79" s="19"/>
      <c r="H79" s="83"/>
      <c r="I79" s="83"/>
      <c r="J79" s="83"/>
      <c r="K79" s="83"/>
      <c r="L79" s="83"/>
      <c r="M79" s="83"/>
      <c r="N79" s="83"/>
      <c r="O79" s="83"/>
      <c r="P79" s="83"/>
      <c r="Q79" s="83"/>
      <c r="R79" s="83"/>
      <c r="S79" s="83"/>
      <c r="T79" s="83"/>
      <c r="U79" s="83"/>
      <c r="V79" s="83"/>
      <c r="W79" s="35"/>
    </row>
    <row r="80" spans="2:23" ht="15" thickBot="1" x14ac:dyDescent="0.4">
      <c r="B80" s="34"/>
      <c r="C80" s="88" t="s">
        <v>87</v>
      </c>
      <c r="D80" s="88"/>
      <c r="E80" s="88"/>
      <c r="F80" s="88"/>
      <c r="G80" s="89"/>
      <c r="H80" s="89">
        <f>SUM(H77,H75)</f>
        <v>2373034.8063693768</v>
      </c>
      <c r="I80" s="89">
        <f t="shared" ref="I80:V80" si="21">SUM(I77,I75)</f>
        <v>2214201.5230662543</v>
      </c>
      <c r="J80" s="89">
        <f t="shared" si="21"/>
        <v>2034046.8717842365</v>
      </c>
      <c r="K80" s="89">
        <f t="shared" si="21"/>
        <v>1841371.5668272271</v>
      </c>
      <c r="L80" s="89">
        <f t="shared" si="21"/>
        <v>1637238.4260486814</v>
      </c>
      <c r="M80" s="89">
        <f t="shared" si="21"/>
        <v>1420959.9792993071</v>
      </c>
      <c r="N80" s="89">
        <f t="shared" si="21"/>
        <v>1191807.5082208547</v>
      </c>
      <c r="O80" s="89">
        <f t="shared" si="21"/>
        <v>942080.59707705211</v>
      </c>
      <c r="P80" s="89">
        <f t="shared" si="21"/>
        <v>682672.0334832709</v>
      </c>
      <c r="Q80" s="89">
        <f t="shared" si="21"/>
        <v>411786.04851759266</v>
      </c>
      <c r="R80" s="89">
        <f t="shared" si="21"/>
        <v>124646.90445397366</v>
      </c>
      <c r="S80" s="89">
        <f t="shared" si="21"/>
        <v>25155.144694533759</v>
      </c>
      <c r="T80" s="89">
        <f t="shared" si="21"/>
        <v>14845.659163987137</v>
      </c>
      <c r="U80" s="89">
        <f t="shared" si="21"/>
        <v>4948.5530546623795</v>
      </c>
      <c r="V80" s="89">
        <f t="shared" si="21"/>
        <v>0</v>
      </c>
      <c r="W80" s="35"/>
    </row>
    <row r="81" spans="2:23" ht="15" thickTop="1" x14ac:dyDescent="0.35">
      <c r="B81" s="34"/>
      <c r="C81" s="19"/>
      <c r="D81" s="19"/>
      <c r="E81" s="19"/>
      <c r="F81" s="19"/>
      <c r="G81" s="19"/>
      <c r="H81" s="83"/>
      <c r="I81" s="83"/>
      <c r="J81" s="83"/>
      <c r="K81" s="83"/>
      <c r="L81" s="83"/>
      <c r="M81" s="83"/>
      <c r="N81" s="83"/>
      <c r="O81" s="83"/>
      <c r="P81" s="83"/>
      <c r="Q81" s="83"/>
      <c r="R81" s="83"/>
      <c r="S81" s="83"/>
      <c r="T81" s="83"/>
      <c r="U81" s="83"/>
      <c r="V81" s="83"/>
      <c r="W81" s="35"/>
    </row>
    <row r="82" spans="2:23" x14ac:dyDescent="0.35">
      <c r="B82" s="34"/>
      <c r="C82" s="19" t="s">
        <v>88</v>
      </c>
      <c r="D82" s="19"/>
      <c r="E82" s="19"/>
      <c r="F82" s="19"/>
      <c r="G82" s="19">
        <f>'Estimates and Assumptions'!K51</f>
        <v>3000000</v>
      </c>
      <c r="H82" s="83">
        <f>G82</f>
        <v>3000000</v>
      </c>
      <c r="I82" s="83">
        <f t="shared" ref="I82:V82" si="22">H82</f>
        <v>3000000</v>
      </c>
      <c r="J82" s="83">
        <f t="shared" si="22"/>
        <v>3000000</v>
      </c>
      <c r="K82" s="83">
        <f t="shared" si="22"/>
        <v>3000000</v>
      </c>
      <c r="L82" s="83">
        <f t="shared" si="22"/>
        <v>3000000</v>
      </c>
      <c r="M82" s="83">
        <f t="shared" si="22"/>
        <v>3000000</v>
      </c>
      <c r="N82" s="83">
        <f t="shared" si="22"/>
        <v>3000000</v>
      </c>
      <c r="O82" s="83">
        <f t="shared" si="22"/>
        <v>3000000</v>
      </c>
      <c r="P82" s="83">
        <f t="shared" si="22"/>
        <v>3000000</v>
      </c>
      <c r="Q82" s="83">
        <f t="shared" si="22"/>
        <v>3000000</v>
      </c>
      <c r="R82" s="83">
        <f t="shared" si="22"/>
        <v>3000000</v>
      </c>
      <c r="S82" s="83">
        <f t="shared" si="22"/>
        <v>3000000</v>
      </c>
      <c r="T82" s="83">
        <f t="shared" si="22"/>
        <v>3000000</v>
      </c>
      <c r="U82" s="83">
        <f t="shared" si="22"/>
        <v>3000000</v>
      </c>
      <c r="V82" s="83">
        <f t="shared" si="22"/>
        <v>3000000</v>
      </c>
      <c r="W82" s="35"/>
    </row>
    <row r="83" spans="2:23" x14ac:dyDescent="0.35">
      <c r="B83" s="34"/>
      <c r="C83" s="19" t="s">
        <v>89</v>
      </c>
      <c r="D83" s="19"/>
      <c r="E83" s="19"/>
      <c r="F83" s="19"/>
      <c r="G83" s="19"/>
      <c r="H83" s="83">
        <f>H35+H51</f>
        <v>977647.59879680502</v>
      </c>
      <c r="I83" s="83">
        <f>H83+I35+I51</f>
        <v>2852906.1645084592</v>
      </c>
      <c r="J83" s="83">
        <f t="shared" ref="J83:V83" si="23">I83+J35+J51</f>
        <v>4736322.6766932607</v>
      </c>
      <c r="K83" s="83">
        <f t="shared" si="23"/>
        <v>6491476.6442939397</v>
      </c>
      <c r="L83" s="83">
        <f t="shared" si="23"/>
        <v>8118886.9127061889</v>
      </c>
      <c r="M83" s="83">
        <f t="shared" si="23"/>
        <v>9619103.4580494426</v>
      </c>
      <c r="N83" s="83">
        <f t="shared" si="23"/>
        <v>10992709.255010299</v>
      </c>
      <c r="O83" s="83">
        <f t="shared" si="23"/>
        <v>11750084.314634368</v>
      </c>
      <c r="P83" s="83">
        <f t="shared" si="23"/>
        <v>12358571.770173404</v>
      </c>
      <c r="Q83" s="83">
        <f t="shared" si="23"/>
        <v>12979325.760880698</v>
      </c>
      <c r="R83" s="83">
        <f t="shared" si="23"/>
        <v>13613082.278866343</v>
      </c>
      <c r="S83" s="83">
        <f t="shared" si="23"/>
        <v>14260621.475767042</v>
      </c>
      <c r="T83" s="83">
        <f t="shared" si="23"/>
        <v>14367177.434692465</v>
      </c>
      <c r="U83" s="83">
        <f t="shared" si="23"/>
        <v>13749964.904871907</v>
      </c>
      <c r="V83" s="83">
        <f t="shared" si="23"/>
        <v>13749964.904871907</v>
      </c>
      <c r="W83" s="35"/>
    </row>
    <row r="84" spans="2:23" x14ac:dyDescent="0.35">
      <c r="B84" s="34"/>
      <c r="C84" s="19"/>
      <c r="D84" s="19"/>
      <c r="E84" s="19"/>
      <c r="F84" s="19"/>
      <c r="G84" s="19"/>
      <c r="H84" s="83"/>
      <c r="I84" s="83"/>
      <c r="J84" s="83"/>
      <c r="K84" s="83"/>
      <c r="L84" s="83"/>
      <c r="M84" s="83"/>
      <c r="N84" s="83"/>
      <c r="O84" s="83"/>
      <c r="P84" s="83"/>
      <c r="Q84" s="83"/>
      <c r="R84" s="83"/>
      <c r="S84" s="83"/>
      <c r="T84" s="83"/>
      <c r="U84" s="83"/>
      <c r="V84" s="83"/>
      <c r="W84" s="35"/>
    </row>
    <row r="85" spans="2:23" ht="15" thickBot="1" x14ac:dyDescent="0.4">
      <c r="B85" s="34"/>
      <c r="C85" s="88" t="s">
        <v>90</v>
      </c>
      <c r="D85" s="88"/>
      <c r="E85" s="88"/>
      <c r="F85" s="88"/>
      <c r="G85" s="89"/>
      <c r="H85" s="89">
        <f>SUM(H82:H83,H80)</f>
        <v>6350682.4051661817</v>
      </c>
      <c r="I85" s="89">
        <f t="shared" ref="I85:V85" si="24">SUM(I82:I83,I80)</f>
        <v>8067107.6875747135</v>
      </c>
      <c r="J85" s="89">
        <f t="shared" si="24"/>
        <v>9770369.548477497</v>
      </c>
      <c r="K85" s="89">
        <f t="shared" si="24"/>
        <v>11332848.211121166</v>
      </c>
      <c r="L85" s="89">
        <f t="shared" si="24"/>
        <v>12756125.33875487</v>
      </c>
      <c r="M85" s="89">
        <f t="shared" si="24"/>
        <v>14040063.437348749</v>
      </c>
      <c r="N85" s="89">
        <f t="shared" si="24"/>
        <v>15184516.763231155</v>
      </c>
      <c r="O85" s="89">
        <f t="shared" si="24"/>
        <v>15692164.911711421</v>
      </c>
      <c r="P85" s="89">
        <f t="shared" si="24"/>
        <v>16041243.803656675</v>
      </c>
      <c r="Q85" s="89">
        <f t="shared" si="24"/>
        <v>16391111.80939829</v>
      </c>
      <c r="R85" s="89">
        <f t="shared" si="24"/>
        <v>16737729.183320317</v>
      </c>
      <c r="S85" s="89">
        <f t="shared" si="24"/>
        <v>17285776.620461576</v>
      </c>
      <c r="T85" s="89">
        <f t="shared" si="24"/>
        <v>17382023.09385645</v>
      </c>
      <c r="U85" s="89">
        <f t="shared" si="24"/>
        <v>16754913.45792657</v>
      </c>
      <c r="V85" s="89">
        <f t="shared" si="24"/>
        <v>16749964.904871907</v>
      </c>
      <c r="W85" s="35"/>
    </row>
    <row r="86" spans="2:23" ht="15" thickTop="1" x14ac:dyDescent="0.35">
      <c r="B86" s="34"/>
      <c r="C86" s="19"/>
      <c r="D86" s="19"/>
      <c r="E86" s="19"/>
      <c r="F86" s="19"/>
      <c r="G86" s="19"/>
      <c r="H86" s="83"/>
      <c r="I86" s="83"/>
      <c r="J86" s="83"/>
      <c r="K86" s="83"/>
      <c r="L86" s="83"/>
      <c r="M86" s="83"/>
      <c r="N86" s="83"/>
      <c r="O86" s="83"/>
      <c r="P86" s="83"/>
      <c r="Q86" s="83"/>
      <c r="R86" s="83"/>
      <c r="S86" s="83"/>
      <c r="T86" s="83"/>
      <c r="U86" s="83"/>
      <c r="V86" s="83"/>
      <c r="W86" s="35"/>
    </row>
    <row r="87" spans="2:23" x14ac:dyDescent="0.35">
      <c r="B87" s="34"/>
      <c r="C87" s="91" t="s">
        <v>95</v>
      </c>
      <c r="D87" s="91"/>
      <c r="E87" s="91"/>
      <c r="F87" s="91"/>
      <c r="G87" s="92"/>
      <c r="H87" s="93">
        <f t="shared" ref="H87:V87" si="25">H85-H70</f>
        <v>0</v>
      </c>
      <c r="I87" s="93">
        <f>I85-I70</f>
        <v>0</v>
      </c>
      <c r="J87" s="94">
        <f t="shared" si="25"/>
        <v>0</v>
      </c>
      <c r="K87" s="93">
        <f t="shared" si="25"/>
        <v>0</v>
      </c>
      <c r="L87" s="93">
        <f t="shared" si="25"/>
        <v>0</v>
      </c>
      <c r="M87" s="93">
        <f t="shared" si="25"/>
        <v>0</v>
      </c>
      <c r="N87" s="93">
        <f t="shared" si="25"/>
        <v>0</v>
      </c>
      <c r="O87" s="93">
        <f t="shared" si="25"/>
        <v>0</v>
      </c>
      <c r="P87" s="93">
        <f t="shared" si="25"/>
        <v>0</v>
      </c>
      <c r="Q87" s="93">
        <f t="shared" si="25"/>
        <v>0</v>
      </c>
      <c r="R87" s="93">
        <f t="shared" si="25"/>
        <v>0</v>
      </c>
      <c r="S87" s="93">
        <f t="shared" si="25"/>
        <v>0</v>
      </c>
      <c r="T87" s="93">
        <f t="shared" si="25"/>
        <v>0</v>
      </c>
      <c r="U87" s="93">
        <f t="shared" si="25"/>
        <v>0</v>
      </c>
      <c r="V87" s="93">
        <f t="shared" si="25"/>
        <v>0</v>
      </c>
      <c r="W87" s="35"/>
    </row>
    <row r="88" spans="2:23" x14ac:dyDescent="0.35">
      <c r="B88" s="34"/>
      <c r="W88" s="35"/>
    </row>
    <row r="89" spans="2:23" x14ac:dyDescent="0.35">
      <c r="B89" s="34"/>
      <c r="C89" s="4"/>
      <c r="D89" s="5"/>
      <c r="E89" s="6"/>
      <c r="F89" s="6"/>
      <c r="G89" s="6"/>
      <c r="H89" s="10"/>
      <c r="I89" s="10"/>
      <c r="J89" s="10"/>
      <c r="K89" s="10"/>
      <c r="L89" s="10"/>
      <c r="M89" s="10"/>
      <c r="N89" s="10"/>
      <c r="O89" s="10"/>
      <c r="P89" s="10"/>
      <c r="Q89" s="10"/>
      <c r="R89" s="10"/>
      <c r="S89" s="10"/>
      <c r="T89" s="10"/>
      <c r="U89" s="10"/>
      <c r="V89" s="10"/>
      <c r="W89" s="35"/>
    </row>
    <row r="90" spans="2:23" ht="15" thickBot="1" x14ac:dyDescent="0.4">
      <c r="B90" s="62"/>
      <c r="C90" s="31"/>
      <c r="D90" s="31"/>
      <c r="E90" s="31"/>
      <c r="F90" s="31"/>
      <c r="G90" s="31"/>
      <c r="H90" s="31"/>
      <c r="I90" s="31"/>
      <c r="J90" s="31"/>
      <c r="K90" s="31"/>
      <c r="L90" s="31"/>
      <c r="M90" s="31"/>
      <c r="N90" s="31"/>
      <c r="O90" s="31"/>
      <c r="P90" s="31"/>
      <c r="Q90" s="31"/>
      <c r="R90" s="31"/>
      <c r="S90" s="31"/>
      <c r="T90" s="31"/>
      <c r="U90" s="31"/>
      <c r="V90" s="31"/>
      <c r="W90" s="33"/>
    </row>
    <row r="92" spans="2:23" ht="15" thickBot="1" x14ac:dyDescent="0.4"/>
    <row r="93" spans="2:23" ht="16" thickBot="1" x14ac:dyDescent="0.4">
      <c r="B93" s="154" t="s">
        <v>152</v>
      </c>
      <c r="C93" s="155"/>
      <c r="D93" s="78"/>
      <c r="E93" s="79"/>
      <c r="F93" s="78"/>
      <c r="G93" s="78"/>
      <c r="H93" s="78">
        <f>H3</f>
        <v>2023</v>
      </c>
      <c r="I93" s="78">
        <f t="shared" ref="I93:V93" si="26">I3</f>
        <v>2024</v>
      </c>
      <c r="J93" s="78">
        <f t="shared" si="26"/>
        <v>2025</v>
      </c>
      <c r="K93" s="78">
        <f t="shared" si="26"/>
        <v>2026</v>
      </c>
      <c r="L93" s="78">
        <f t="shared" si="26"/>
        <v>2027</v>
      </c>
      <c r="M93" s="78">
        <f t="shared" si="26"/>
        <v>2028</v>
      </c>
      <c r="N93" s="78">
        <f t="shared" si="26"/>
        <v>2029</v>
      </c>
      <c r="O93" s="78">
        <f t="shared" si="26"/>
        <v>2030</v>
      </c>
      <c r="P93" s="78">
        <f t="shared" si="26"/>
        <v>2031</v>
      </c>
      <c r="Q93" s="78">
        <f t="shared" si="26"/>
        <v>2032</v>
      </c>
      <c r="R93" s="78">
        <f t="shared" si="26"/>
        <v>2033</v>
      </c>
      <c r="S93" s="78">
        <f t="shared" si="26"/>
        <v>2034</v>
      </c>
      <c r="T93" s="78">
        <f t="shared" si="26"/>
        <v>2035</v>
      </c>
      <c r="U93" s="78">
        <f t="shared" si="26"/>
        <v>2036</v>
      </c>
      <c r="V93" s="78">
        <f t="shared" si="26"/>
        <v>2037</v>
      </c>
      <c r="W93" s="79"/>
    </row>
    <row r="94" spans="2:23" ht="9.9" customHeight="1" x14ac:dyDescent="0.35">
      <c r="B94" s="34"/>
      <c r="W94" s="35"/>
    </row>
    <row r="95" spans="2:23" x14ac:dyDescent="0.35">
      <c r="B95" s="80" t="s">
        <v>154</v>
      </c>
      <c r="C95" s="19"/>
      <c r="D95" s="19"/>
      <c r="E95" s="126">
        <f>'Estimates and Assumptions'!F45*(1-'Estimates and Assumptions'!G45)</f>
        <v>4.8000000000000001E-2</v>
      </c>
      <c r="G95" s="127" t="s">
        <v>159</v>
      </c>
      <c r="H95" s="96">
        <f>H43-Schedules!H18</f>
        <v>944275.79413442547</v>
      </c>
      <c r="I95" s="96">
        <f>I43-Schedules!I18</f>
        <v>1864134.6308241938</v>
      </c>
      <c r="J95" s="96">
        <f>J43-Schedules!J18</f>
        <v>1883416.5121848015</v>
      </c>
      <c r="K95" s="96">
        <f>K43-Schedules!K18</f>
        <v>1756865.34219875</v>
      </c>
      <c r="L95" s="96">
        <f>L43-Schedules!L18</f>
        <v>1629121.6430103197</v>
      </c>
      <c r="M95" s="96">
        <f>M43-Schedules!M18</f>
        <v>1501927.9199413236</v>
      </c>
      <c r="N95" s="96">
        <f>N43-Schedules!N18</f>
        <v>1375317.171558927</v>
      </c>
      <c r="O95" s="96">
        <f>O43-Schedules!O18</f>
        <v>766014.40849866718</v>
      </c>
      <c r="P95" s="96">
        <f>P43-Schedules!P18</f>
        <v>612343.20312746009</v>
      </c>
      <c r="Q95" s="96">
        <f>Q43-Schedules!Q18</f>
        <v>620753.99070729292</v>
      </c>
      <c r="R95" s="96">
        <f>R43-Schedules!R18</f>
        <v>633756.51798564545</v>
      </c>
      <c r="S95" s="96">
        <f>S43-Schedules!S18</f>
        <v>647539.19690069905</v>
      </c>
      <c r="T95" s="96">
        <f>T43-Schedules!T18</f>
        <v>116865.44445596909</v>
      </c>
      <c r="U95" s="96">
        <f>U43-Schedules!U18</f>
        <v>-607315.42371123331</v>
      </c>
      <c r="V95" s="96">
        <f>V43-Schedules!V18</f>
        <v>4948.5530546623795</v>
      </c>
      <c r="W95" s="35"/>
    </row>
    <row r="96" spans="2:23" x14ac:dyDescent="0.35">
      <c r="B96" s="80" t="s">
        <v>155</v>
      </c>
      <c r="C96" s="19"/>
      <c r="D96" s="19"/>
      <c r="E96" s="126">
        <f>'Estimates and Assumptions'!L57</f>
        <v>0.15</v>
      </c>
      <c r="W96" s="35"/>
    </row>
    <row r="97" spans="2:23" x14ac:dyDescent="0.35">
      <c r="B97" s="80" t="s">
        <v>157</v>
      </c>
      <c r="C97" s="19"/>
      <c r="D97" s="19"/>
      <c r="E97" s="82">
        <f>'Estimates and Assumptions'!J51/SUM('Estimates and Assumptions'!J51:K51)</f>
        <v>0.45454545454545453</v>
      </c>
      <c r="W97" s="35"/>
    </row>
    <row r="98" spans="2:23" x14ac:dyDescent="0.35">
      <c r="B98" s="80" t="s">
        <v>158</v>
      </c>
      <c r="C98" s="19"/>
      <c r="D98" s="19"/>
      <c r="E98" s="110">
        <f>'Estimates and Assumptions'!K51/SUM('Estimates and Assumptions'!J51:K51)</f>
        <v>0.54545454545454541</v>
      </c>
      <c r="W98" s="35"/>
    </row>
    <row r="99" spans="2:23" x14ac:dyDescent="0.35">
      <c r="B99" s="80"/>
      <c r="C99" s="19"/>
      <c r="D99" s="19"/>
      <c r="E99" s="19"/>
      <c r="W99" s="35"/>
    </row>
    <row r="100" spans="2:23" x14ac:dyDescent="0.35">
      <c r="B100" s="80" t="s">
        <v>173</v>
      </c>
      <c r="C100" s="19"/>
      <c r="D100" s="19"/>
      <c r="E100" s="82">
        <f>E95*E97+E96*E98</f>
        <v>0.10363636363636362</v>
      </c>
      <c r="W100" s="35"/>
    </row>
    <row r="101" spans="2:23" x14ac:dyDescent="0.35">
      <c r="B101" s="80" t="s">
        <v>153</v>
      </c>
      <c r="C101" s="19"/>
      <c r="D101" s="19"/>
      <c r="E101" s="128">
        <f>NPV(E100,H95:V95)</f>
        <v>8612280.4426153842</v>
      </c>
      <c r="W101" s="35"/>
    </row>
    <row r="102" spans="2:23" x14ac:dyDescent="0.35">
      <c r="B102" s="34"/>
      <c r="W102" s="35"/>
    </row>
    <row r="103" spans="2:23" x14ac:dyDescent="0.35">
      <c r="B103" s="34"/>
      <c r="C103" s="4"/>
      <c r="D103" s="5"/>
      <c r="E103" s="6"/>
      <c r="F103" s="6"/>
      <c r="G103" s="6"/>
      <c r="H103" s="10"/>
      <c r="I103" s="10"/>
      <c r="J103" s="10"/>
      <c r="K103" s="10"/>
      <c r="L103" s="10"/>
      <c r="M103" s="10"/>
      <c r="N103" s="10"/>
      <c r="O103" s="10"/>
      <c r="P103" s="10"/>
      <c r="Q103" s="10"/>
      <c r="R103" s="10"/>
      <c r="S103" s="10"/>
      <c r="T103" s="10"/>
      <c r="U103" s="10"/>
      <c r="V103" s="10"/>
      <c r="W103" s="35"/>
    </row>
    <row r="104" spans="2:23" ht="15" thickBot="1" x14ac:dyDescent="0.4">
      <c r="B104" s="62"/>
      <c r="C104" s="31"/>
      <c r="D104" s="31"/>
      <c r="E104" s="31"/>
      <c r="F104" s="31"/>
      <c r="G104" s="31"/>
      <c r="H104" s="31"/>
      <c r="I104" s="31"/>
      <c r="J104" s="31"/>
      <c r="K104" s="31"/>
      <c r="L104" s="31"/>
      <c r="M104" s="31"/>
      <c r="N104" s="31"/>
      <c r="O104" s="31"/>
      <c r="P104" s="31"/>
      <c r="Q104" s="31"/>
      <c r="R104" s="31"/>
      <c r="S104" s="31"/>
      <c r="T104" s="31"/>
      <c r="U104" s="31"/>
      <c r="V104" s="31"/>
      <c r="W104" s="33"/>
    </row>
  </sheetData>
  <mergeCells count="2">
    <mergeCell ref="B3:C3"/>
    <mergeCell ref="B93:C93"/>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21849-2934-4A29-B61B-CD806C93792A}">
  <dimension ref="B2:W36"/>
  <sheetViews>
    <sheetView zoomScale="85" zoomScaleNormal="85" workbookViewId="0">
      <pane xSplit="7" ySplit="3" topLeftCell="I4" activePane="bottomRight" state="frozen"/>
      <selection pane="topRight" activeCell="H1" sqref="H1"/>
      <selection pane="bottomLeft" activeCell="A4" sqref="A4"/>
      <selection pane="bottomRight" activeCell="A4" sqref="A4"/>
    </sheetView>
  </sheetViews>
  <sheetFormatPr defaultColWidth="9.08984375" defaultRowHeight="14.5" x14ac:dyDescent="0.35"/>
  <cols>
    <col min="1" max="1" width="3" style="1" customWidth="1"/>
    <col min="2" max="2" width="3.6328125" style="1" customWidth="1"/>
    <col min="3" max="4" width="9.08984375" style="1"/>
    <col min="5" max="5" width="17" style="1" customWidth="1"/>
    <col min="6" max="6" width="11.54296875" style="1" bestFit="1" customWidth="1"/>
    <col min="7" max="7" width="13.36328125" style="1" bestFit="1" customWidth="1"/>
    <col min="8" max="9" width="14.08984375" style="1" bestFit="1" customWidth="1"/>
    <col min="10" max="15" width="14.36328125" style="1" bestFit="1" customWidth="1"/>
    <col min="16" max="22" width="15" style="1" bestFit="1" customWidth="1"/>
    <col min="23" max="23" width="3.6328125" style="1" customWidth="1"/>
    <col min="24" max="16384" width="9.08984375" style="1"/>
  </cols>
  <sheetData>
    <row r="2" spans="2:23" ht="15" thickBot="1" x14ac:dyDescent="0.4"/>
    <row r="3" spans="2:23" ht="16" thickBot="1" x14ac:dyDescent="0.4">
      <c r="B3" s="154" t="s">
        <v>13</v>
      </c>
      <c r="C3" s="155"/>
      <c r="D3" s="78"/>
      <c r="E3" s="78"/>
      <c r="F3" s="78"/>
      <c r="G3" s="78"/>
      <c r="H3" s="78">
        <v>2023</v>
      </c>
      <c r="I3" s="78">
        <v>2024</v>
      </c>
      <c r="J3" s="78">
        <v>2025</v>
      </c>
      <c r="K3" s="78">
        <v>2026</v>
      </c>
      <c r="L3" s="78">
        <v>2027</v>
      </c>
      <c r="M3" s="78">
        <v>2028</v>
      </c>
      <c r="N3" s="78">
        <v>2029</v>
      </c>
      <c r="O3" s="78">
        <v>2030</v>
      </c>
      <c r="P3" s="78">
        <v>2031</v>
      </c>
      <c r="Q3" s="78">
        <v>2032</v>
      </c>
      <c r="R3" s="78">
        <v>2033</v>
      </c>
      <c r="S3" s="78">
        <v>2034</v>
      </c>
      <c r="T3" s="78">
        <v>2035</v>
      </c>
      <c r="U3" s="78">
        <v>2036</v>
      </c>
      <c r="V3" s="78">
        <v>2037</v>
      </c>
      <c r="W3" s="79"/>
    </row>
    <row r="4" spans="2:23" x14ac:dyDescent="0.35">
      <c r="B4" s="34"/>
      <c r="W4" s="35"/>
    </row>
    <row r="5" spans="2:23" x14ac:dyDescent="0.35">
      <c r="B5" s="34"/>
      <c r="C5" s="4" t="s">
        <v>86</v>
      </c>
      <c r="D5" s="5"/>
      <c r="E5" s="6"/>
      <c r="F5" s="6"/>
      <c r="G5" s="6"/>
      <c r="H5" s="6"/>
      <c r="I5" s="6"/>
      <c r="J5" s="6"/>
      <c r="K5" s="6"/>
      <c r="L5" s="6"/>
      <c r="M5" s="6"/>
      <c r="N5" s="6"/>
      <c r="O5" s="6"/>
      <c r="P5" s="6"/>
      <c r="Q5" s="6"/>
      <c r="R5" s="6"/>
      <c r="S5" s="6"/>
      <c r="T5" s="6"/>
      <c r="U5" s="6"/>
      <c r="V5" s="6"/>
      <c r="W5" s="35"/>
    </row>
    <row r="6" spans="2:23" ht="9.9" customHeight="1" x14ac:dyDescent="0.35">
      <c r="B6" s="34"/>
      <c r="W6" s="35"/>
    </row>
    <row r="7" spans="2:23" x14ac:dyDescent="0.35">
      <c r="B7" s="34"/>
      <c r="C7" s="19" t="s">
        <v>102</v>
      </c>
      <c r="D7" s="19"/>
      <c r="E7" s="19"/>
      <c r="F7" s="19"/>
      <c r="G7" s="19"/>
      <c r="H7" s="83">
        <f>'Estimates and Assumptions'!J51</f>
        <v>2500000</v>
      </c>
      <c r="I7" s="83">
        <f>H12</f>
        <v>2339663.0017069974</v>
      </c>
      <c r="J7" s="83">
        <f t="shared" ref="J7:V7" si="0">I12</f>
        <v>2169705.7835164149</v>
      </c>
      <c r="K7" s="83">
        <f t="shared" si="0"/>
        <v>1989551.1322343973</v>
      </c>
      <c r="L7" s="83">
        <f t="shared" si="0"/>
        <v>1798587.2018754587</v>
      </c>
      <c r="M7" s="83">
        <f t="shared" si="0"/>
        <v>1596165.4356949837</v>
      </c>
      <c r="N7" s="83">
        <f t="shared" si="0"/>
        <v>1381598.3635436802</v>
      </c>
      <c r="O7" s="83">
        <f t="shared" si="0"/>
        <v>1154157.2670632985</v>
      </c>
      <c r="P7" s="83">
        <f t="shared" si="0"/>
        <v>913069.70479409397</v>
      </c>
      <c r="Q7" s="83">
        <f t="shared" si="0"/>
        <v>657516.88878873712</v>
      </c>
      <c r="R7" s="83">
        <f t="shared" si="0"/>
        <v>386630.90382305888</v>
      </c>
      <c r="S7" s="83">
        <f t="shared" si="0"/>
        <v>99491.759759439912</v>
      </c>
      <c r="T7" s="83">
        <f t="shared" si="0"/>
        <v>0</v>
      </c>
      <c r="U7" s="83">
        <f t="shared" si="0"/>
        <v>0</v>
      </c>
      <c r="V7" s="83">
        <f t="shared" si="0"/>
        <v>0</v>
      </c>
      <c r="W7" s="35"/>
    </row>
    <row r="8" spans="2:23" x14ac:dyDescent="0.35">
      <c r="B8" s="34"/>
      <c r="C8" s="19" t="s">
        <v>100</v>
      </c>
      <c r="D8" s="19"/>
      <c r="E8" s="19"/>
      <c r="F8" s="9">
        <f>'Estimates and Assumptions'!E57</f>
        <v>310336.99829300249</v>
      </c>
      <c r="G8" s="19"/>
      <c r="H8" s="96">
        <f>IF(OR(H7=$F$8,H7&gt;$F$8),$F$8,H7*(1+$F$9))</f>
        <v>310336.99829300249</v>
      </c>
      <c r="I8" s="96">
        <f t="shared" ref="I8:V8" si="1">IF(OR(I7=$F$8,I7&gt;$F$8),$F$8,I7*(1+$F$9))</f>
        <v>310336.99829300249</v>
      </c>
      <c r="J8" s="96">
        <f t="shared" si="1"/>
        <v>310336.99829300249</v>
      </c>
      <c r="K8" s="96">
        <f t="shared" si="1"/>
        <v>310336.99829300249</v>
      </c>
      <c r="L8" s="96">
        <f t="shared" si="1"/>
        <v>310336.99829300249</v>
      </c>
      <c r="M8" s="96">
        <f t="shared" si="1"/>
        <v>310336.99829300249</v>
      </c>
      <c r="N8" s="96">
        <f t="shared" si="1"/>
        <v>310336.99829300249</v>
      </c>
      <c r="O8" s="96">
        <f t="shared" si="1"/>
        <v>310336.99829300249</v>
      </c>
      <c r="P8" s="96">
        <f t="shared" si="1"/>
        <v>310336.99829300249</v>
      </c>
      <c r="Q8" s="96">
        <f t="shared" si="1"/>
        <v>310336.99829300249</v>
      </c>
      <c r="R8" s="96">
        <f t="shared" si="1"/>
        <v>310336.99829300249</v>
      </c>
      <c r="S8" s="96">
        <f t="shared" si="1"/>
        <v>105461.26534500631</v>
      </c>
      <c r="T8" s="96">
        <f t="shared" si="1"/>
        <v>0</v>
      </c>
      <c r="U8" s="96">
        <f t="shared" si="1"/>
        <v>0</v>
      </c>
      <c r="V8" s="96">
        <f t="shared" si="1"/>
        <v>0</v>
      </c>
      <c r="W8" s="35"/>
    </row>
    <row r="9" spans="2:23" x14ac:dyDescent="0.35">
      <c r="B9" s="34"/>
      <c r="C9" s="19" t="s">
        <v>104</v>
      </c>
      <c r="D9" s="19"/>
      <c r="E9" s="19"/>
      <c r="F9" s="99">
        <f>'Estimates and Assumptions'!F45</f>
        <v>0.06</v>
      </c>
      <c r="G9" s="19"/>
      <c r="H9" s="81">
        <f>IF(H7=0,0,$F$9)</f>
        <v>0.06</v>
      </c>
      <c r="I9" s="81">
        <f t="shared" ref="I9:V9" si="2">IF(I7=0,0,$F$9)</f>
        <v>0.06</v>
      </c>
      <c r="J9" s="82">
        <f t="shared" si="2"/>
        <v>0.06</v>
      </c>
      <c r="K9" s="82">
        <f t="shared" si="2"/>
        <v>0.06</v>
      </c>
      <c r="L9" s="82">
        <f t="shared" si="2"/>
        <v>0.06</v>
      </c>
      <c r="M9" s="82">
        <f t="shared" si="2"/>
        <v>0.06</v>
      </c>
      <c r="N9" s="82">
        <f t="shared" si="2"/>
        <v>0.06</v>
      </c>
      <c r="O9" s="82">
        <f t="shared" si="2"/>
        <v>0.06</v>
      </c>
      <c r="P9" s="82">
        <f t="shared" si="2"/>
        <v>0.06</v>
      </c>
      <c r="Q9" s="82">
        <f t="shared" si="2"/>
        <v>0.06</v>
      </c>
      <c r="R9" s="82">
        <f t="shared" si="2"/>
        <v>0.06</v>
      </c>
      <c r="S9" s="82">
        <f t="shared" si="2"/>
        <v>0.06</v>
      </c>
      <c r="T9" s="82">
        <f t="shared" si="2"/>
        <v>0</v>
      </c>
      <c r="U9" s="82">
        <f t="shared" si="2"/>
        <v>0</v>
      </c>
      <c r="V9" s="82">
        <f t="shared" si="2"/>
        <v>0</v>
      </c>
      <c r="W9" s="35"/>
    </row>
    <row r="10" spans="2:23" x14ac:dyDescent="0.35">
      <c r="B10" s="34"/>
      <c r="C10" s="19" t="s">
        <v>62</v>
      </c>
      <c r="D10" s="19"/>
      <c r="E10" s="19"/>
      <c r="F10" s="82"/>
      <c r="G10" s="19"/>
      <c r="H10" s="83">
        <f>H9*H7</f>
        <v>150000</v>
      </c>
      <c r="I10" s="83">
        <f>I9*I7</f>
        <v>140379.78010241984</v>
      </c>
      <c r="J10" s="83">
        <f t="shared" ref="J10:V10" si="3">J9*J7</f>
        <v>130182.34701098489</v>
      </c>
      <c r="K10" s="83">
        <f t="shared" si="3"/>
        <v>119373.06793406383</v>
      </c>
      <c r="L10" s="83">
        <f t="shared" si="3"/>
        <v>107915.23211252752</v>
      </c>
      <c r="M10" s="83">
        <f t="shared" si="3"/>
        <v>95769.926141699019</v>
      </c>
      <c r="N10" s="83">
        <f t="shared" si="3"/>
        <v>82895.90181262081</v>
      </c>
      <c r="O10" s="83">
        <f t="shared" si="3"/>
        <v>69249.436023797913</v>
      </c>
      <c r="P10" s="83">
        <f t="shared" si="3"/>
        <v>54784.182287645635</v>
      </c>
      <c r="Q10" s="83">
        <f t="shared" si="3"/>
        <v>39451.013327324225</v>
      </c>
      <c r="R10" s="83">
        <f t="shared" si="3"/>
        <v>23197.854229383531</v>
      </c>
      <c r="S10" s="83">
        <f t="shared" si="3"/>
        <v>5969.5055855663941</v>
      </c>
      <c r="T10" s="83">
        <f t="shared" si="3"/>
        <v>0</v>
      </c>
      <c r="U10" s="83">
        <f t="shared" si="3"/>
        <v>0</v>
      </c>
      <c r="V10" s="83">
        <f t="shared" si="3"/>
        <v>0</v>
      </c>
      <c r="W10" s="35"/>
    </row>
    <row r="11" spans="2:23" x14ac:dyDescent="0.35">
      <c r="B11" s="34"/>
      <c r="C11" s="19" t="s">
        <v>105</v>
      </c>
      <c r="D11" s="19"/>
      <c r="E11" s="19"/>
      <c r="F11" s="19"/>
      <c r="G11" s="19"/>
      <c r="H11" s="83">
        <f>H8-H10</f>
        <v>160336.99829300249</v>
      </c>
      <c r="I11" s="83">
        <f>I8-I10</f>
        <v>169957.21819058264</v>
      </c>
      <c r="J11" s="83">
        <f t="shared" ref="J11:V11" si="4">J8-J10</f>
        <v>180154.65128201758</v>
      </c>
      <c r="K11" s="83">
        <f t="shared" si="4"/>
        <v>190963.93035893864</v>
      </c>
      <c r="L11" s="83">
        <f t="shared" si="4"/>
        <v>202421.76618047495</v>
      </c>
      <c r="M11" s="83">
        <f t="shared" si="4"/>
        <v>214567.07215130347</v>
      </c>
      <c r="N11" s="83">
        <f t="shared" si="4"/>
        <v>227441.09648038168</v>
      </c>
      <c r="O11" s="83">
        <f t="shared" si="4"/>
        <v>241087.56226920459</v>
      </c>
      <c r="P11" s="83">
        <f t="shared" si="4"/>
        <v>255552.81600535684</v>
      </c>
      <c r="Q11" s="83">
        <f t="shared" si="4"/>
        <v>270885.98496567825</v>
      </c>
      <c r="R11" s="83">
        <f t="shared" si="4"/>
        <v>287139.14406361897</v>
      </c>
      <c r="S11" s="83">
        <f t="shared" si="4"/>
        <v>99491.759759439912</v>
      </c>
      <c r="T11" s="83">
        <f t="shared" si="4"/>
        <v>0</v>
      </c>
      <c r="U11" s="83">
        <f t="shared" si="4"/>
        <v>0</v>
      </c>
      <c r="V11" s="83">
        <f t="shared" si="4"/>
        <v>0</v>
      </c>
      <c r="W11" s="35"/>
    </row>
    <row r="12" spans="2:23" x14ac:dyDescent="0.35">
      <c r="B12" s="34"/>
      <c r="C12" s="19" t="s">
        <v>103</v>
      </c>
      <c r="D12" s="19"/>
      <c r="E12" s="19"/>
      <c r="F12" s="19"/>
      <c r="G12" s="83"/>
      <c r="H12" s="83">
        <f>H7-H11</f>
        <v>2339663.0017069974</v>
      </c>
      <c r="I12" s="83">
        <f>I7-I11</f>
        <v>2169705.7835164149</v>
      </c>
      <c r="J12" s="83">
        <f t="shared" ref="J12:V12" si="5">J7-J11</f>
        <v>1989551.1322343973</v>
      </c>
      <c r="K12" s="83">
        <f t="shared" si="5"/>
        <v>1798587.2018754587</v>
      </c>
      <c r="L12" s="83">
        <f t="shared" si="5"/>
        <v>1596165.4356949837</v>
      </c>
      <c r="M12" s="83">
        <f t="shared" si="5"/>
        <v>1381598.3635436802</v>
      </c>
      <c r="N12" s="83">
        <f t="shared" si="5"/>
        <v>1154157.2670632985</v>
      </c>
      <c r="O12" s="83">
        <f t="shared" si="5"/>
        <v>913069.70479409397</v>
      </c>
      <c r="P12" s="83">
        <f t="shared" si="5"/>
        <v>657516.88878873712</v>
      </c>
      <c r="Q12" s="83">
        <f t="shared" si="5"/>
        <v>386630.90382305888</v>
      </c>
      <c r="R12" s="83">
        <f t="shared" si="5"/>
        <v>99491.759759439912</v>
      </c>
      <c r="S12" s="83">
        <f t="shared" si="5"/>
        <v>0</v>
      </c>
      <c r="T12" s="83">
        <f t="shared" si="5"/>
        <v>0</v>
      </c>
      <c r="U12" s="83">
        <f t="shared" si="5"/>
        <v>0</v>
      </c>
      <c r="V12" s="83">
        <f t="shared" si="5"/>
        <v>0</v>
      </c>
      <c r="W12" s="35"/>
    </row>
    <row r="13" spans="2:23" x14ac:dyDescent="0.35">
      <c r="B13" s="34"/>
      <c r="W13" s="35"/>
    </row>
    <row r="14" spans="2:23" x14ac:dyDescent="0.35">
      <c r="B14" s="34"/>
      <c r="C14" s="4" t="s">
        <v>57</v>
      </c>
      <c r="D14" s="5"/>
      <c r="E14" s="6"/>
      <c r="F14" s="6"/>
      <c r="G14" s="6"/>
      <c r="H14" s="6"/>
      <c r="I14" s="6"/>
      <c r="J14" s="6"/>
      <c r="K14" s="6"/>
      <c r="L14" s="6"/>
      <c r="M14" s="6"/>
      <c r="N14" s="6"/>
      <c r="O14" s="6"/>
      <c r="P14" s="6"/>
      <c r="Q14" s="6"/>
      <c r="R14" s="6"/>
      <c r="S14" s="6"/>
      <c r="T14" s="6"/>
      <c r="U14" s="6"/>
      <c r="V14" s="6"/>
      <c r="W14" s="35"/>
    </row>
    <row r="15" spans="2:23" ht="9.9" customHeight="1" x14ac:dyDescent="0.35">
      <c r="B15" s="34"/>
      <c r="W15" s="35"/>
    </row>
    <row r="16" spans="2:23" x14ac:dyDescent="0.35">
      <c r="B16" s="34"/>
      <c r="C16" s="19" t="s">
        <v>106</v>
      </c>
      <c r="D16" s="19"/>
      <c r="E16" s="19"/>
      <c r="F16" s="19"/>
      <c r="G16" s="19"/>
      <c r="H16" s="83">
        <f>'Estimates and Assumptions'!H51</f>
        <v>5000000</v>
      </c>
      <c r="I16" s="83">
        <f>H19</f>
        <v>5000000</v>
      </c>
      <c r="J16" s="83">
        <f t="shared" ref="J16:V16" si="6">I19</f>
        <v>5000000</v>
      </c>
      <c r="K16" s="83">
        <f t="shared" si="6"/>
        <v>5000000</v>
      </c>
      <c r="L16" s="83">
        <f t="shared" si="6"/>
        <v>5000000</v>
      </c>
      <c r="M16" s="83">
        <f t="shared" si="6"/>
        <v>5000000</v>
      </c>
      <c r="N16" s="83">
        <f t="shared" si="6"/>
        <v>5000000</v>
      </c>
      <c r="O16" s="83">
        <f t="shared" si="6"/>
        <v>5000000</v>
      </c>
      <c r="P16" s="83">
        <f t="shared" si="6"/>
        <v>5000000</v>
      </c>
      <c r="Q16" s="83">
        <f t="shared" si="6"/>
        <v>5000000</v>
      </c>
      <c r="R16" s="83">
        <f t="shared" si="6"/>
        <v>5000000</v>
      </c>
      <c r="S16" s="83">
        <f t="shared" si="6"/>
        <v>5000000</v>
      </c>
      <c r="T16" s="83">
        <f t="shared" si="6"/>
        <v>5000000</v>
      </c>
      <c r="U16" s="83">
        <f t="shared" si="6"/>
        <v>5000000</v>
      </c>
      <c r="V16" s="83">
        <f t="shared" si="6"/>
        <v>5000000</v>
      </c>
      <c r="W16" s="35"/>
    </row>
    <row r="17" spans="2:23" x14ac:dyDescent="0.35">
      <c r="B17" s="34"/>
      <c r="C17" s="19" t="s">
        <v>109</v>
      </c>
      <c r="D17" s="19"/>
      <c r="E17" s="19"/>
      <c r="F17" s="19"/>
      <c r="G17" s="19"/>
      <c r="H17" s="83">
        <f>'Estimates and Assumptions'!H45</f>
        <v>483870.96774193546</v>
      </c>
      <c r="I17" s="83">
        <f>IF('Model Operations'!I46&gt;0,H17,0)</f>
        <v>483870.96774193546</v>
      </c>
      <c r="J17" s="83">
        <f>IF('Model Operations'!J46&gt;0,I17,0)</f>
        <v>483870.96774193546</v>
      </c>
      <c r="K17" s="83">
        <f>IF('Model Operations'!K46&gt;0,J17,0)</f>
        <v>483870.96774193546</v>
      </c>
      <c r="L17" s="83">
        <f>IF('Model Operations'!L46&gt;0,K17,0)</f>
        <v>483870.96774193546</v>
      </c>
      <c r="M17" s="83">
        <f>IF('Model Operations'!M46&gt;0,L17,0)</f>
        <v>483870.96774193546</v>
      </c>
      <c r="N17" s="83">
        <f>IF('Model Operations'!N46&gt;0,M17,0)</f>
        <v>483870.96774193546</v>
      </c>
      <c r="O17" s="83">
        <f>IF('Model Operations'!O46&gt;0,N17,0)</f>
        <v>483870.96774193546</v>
      </c>
      <c r="P17" s="83">
        <f>IF('Model Operations'!P46&gt;0,O17,0)</f>
        <v>483870.96774193546</v>
      </c>
      <c r="Q17" s="83">
        <f>IF('Model Operations'!Q46&gt;0,P17,0)</f>
        <v>483870.96774193546</v>
      </c>
      <c r="R17" s="83">
        <f>IF('Model Operations'!R46&gt;0,Q17,0)</f>
        <v>483870.96774193546</v>
      </c>
      <c r="S17" s="83">
        <f>IF('Model Operations'!S46&gt;0,R17,0)</f>
        <v>483870.96774193546</v>
      </c>
      <c r="T17" s="83">
        <f>IF('Model Operations'!T46&gt;0,S17,0)</f>
        <v>483870.96774193546</v>
      </c>
      <c r="U17" s="83">
        <f>IF('Model Operations'!U46&gt;0,T17,0)</f>
        <v>483870.96774193546</v>
      </c>
      <c r="V17" s="83">
        <f>IF('Model Operations'!V46&gt;0,U17,0)</f>
        <v>0</v>
      </c>
      <c r="W17" s="35"/>
    </row>
    <row r="18" spans="2:23" x14ac:dyDescent="0.35">
      <c r="B18" s="34"/>
      <c r="C18" s="19" t="s">
        <v>110</v>
      </c>
      <c r="D18" s="19"/>
      <c r="E18" s="19"/>
      <c r="F18" s="19"/>
      <c r="G18" s="19"/>
      <c r="H18" s="98">
        <f>H17</f>
        <v>483870.96774193546</v>
      </c>
      <c r="I18" s="83">
        <f>I17</f>
        <v>483870.96774193546</v>
      </c>
      <c r="J18" s="83">
        <f t="shared" ref="J18:V18" si="7">J17</f>
        <v>483870.96774193546</v>
      </c>
      <c r="K18" s="83">
        <f t="shared" si="7"/>
        <v>483870.96774193546</v>
      </c>
      <c r="L18" s="83">
        <f t="shared" si="7"/>
        <v>483870.96774193546</v>
      </c>
      <c r="M18" s="83">
        <f t="shared" si="7"/>
        <v>483870.96774193546</v>
      </c>
      <c r="N18" s="83">
        <f t="shared" si="7"/>
        <v>483870.96774193546</v>
      </c>
      <c r="O18" s="83">
        <f t="shared" si="7"/>
        <v>483870.96774193546</v>
      </c>
      <c r="P18" s="83">
        <f t="shared" si="7"/>
        <v>483870.96774193546</v>
      </c>
      <c r="Q18" s="83">
        <f t="shared" si="7"/>
        <v>483870.96774193546</v>
      </c>
      <c r="R18" s="83">
        <f t="shared" si="7"/>
        <v>483870.96774193546</v>
      </c>
      <c r="S18" s="83">
        <f t="shared" si="7"/>
        <v>483870.96774193546</v>
      </c>
      <c r="T18" s="83">
        <f t="shared" si="7"/>
        <v>483870.96774193546</v>
      </c>
      <c r="U18" s="83">
        <f t="shared" si="7"/>
        <v>483870.96774193546</v>
      </c>
      <c r="V18" s="83">
        <f t="shared" si="7"/>
        <v>0</v>
      </c>
      <c r="W18" s="35"/>
    </row>
    <row r="19" spans="2:23" x14ac:dyDescent="0.35">
      <c r="B19" s="34"/>
      <c r="C19" s="19" t="s">
        <v>111</v>
      </c>
      <c r="D19" s="19"/>
      <c r="E19" s="19"/>
      <c r="F19" s="19"/>
      <c r="G19" s="19"/>
      <c r="H19" s="98">
        <f>H16-H17+H18</f>
        <v>5000000</v>
      </c>
      <c r="I19" s="83">
        <f>I16-I17+I18</f>
        <v>5000000</v>
      </c>
      <c r="J19" s="83">
        <f t="shared" ref="J19:V19" si="8">J16-J17+J18</f>
        <v>5000000</v>
      </c>
      <c r="K19" s="83">
        <f t="shared" si="8"/>
        <v>5000000</v>
      </c>
      <c r="L19" s="83">
        <f t="shared" si="8"/>
        <v>5000000</v>
      </c>
      <c r="M19" s="83">
        <f t="shared" si="8"/>
        <v>5000000</v>
      </c>
      <c r="N19" s="83">
        <f t="shared" si="8"/>
        <v>5000000</v>
      </c>
      <c r="O19" s="83">
        <f t="shared" si="8"/>
        <v>5000000</v>
      </c>
      <c r="P19" s="83">
        <f t="shared" si="8"/>
        <v>5000000</v>
      </c>
      <c r="Q19" s="83">
        <f t="shared" si="8"/>
        <v>5000000</v>
      </c>
      <c r="R19" s="83">
        <f t="shared" si="8"/>
        <v>5000000</v>
      </c>
      <c r="S19" s="83">
        <f t="shared" si="8"/>
        <v>5000000</v>
      </c>
      <c r="T19" s="83">
        <f t="shared" si="8"/>
        <v>5000000</v>
      </c>
      <c r="U19" s="83">
        <f t="shared" si="8"/>
        <v>5000000</v>
      </c>
      <c r="V19" s="83">
        <f t="shared" si="8"/>
        <v>5000000</v>
      </c>
      <c r="W19" s="35"/>
    </row>
    <row r="20" spans="2:23" x14ac:dyDescent="0.35">
      <c r="B20" s="34"/>
      <c r="W20" s="35"/>
    </row>
    <row r="21" spans="2:23" x14ac:dyDescent="0.35">
      <c r="B21" s="34"/>
      <c r="C21" s="4" t="s">
        <v>92</v>
      </c>
      <c r="D21" s="5"/>
      <c r="E21" s="6"/>
      <c r="F21" s="6"/>
      <c r="G21" s="6"/>
      <c r="H21" s="6"/>
      <c r="I21" s="6"/>
      <c r="J21" s="6"/>
      <c r="K21" s="6"/>
      <c r="L21" s="6"/>
      <c r="M21" s="6"/>
      <c r="N21" s="6"/>
      <c r="O21" s="6"/>
      <c r="P21" s="6"/>
      <c r="Q21" s="6"/>
      <c r="R21" s="6"/>
      <c r="S21" s="6"/>
      <c r="T21" s="6"/>
      <c r="U21" s="6"/>
      <c r="V21" s="6"/>
      <c r="W21" s="35"/>
    </row>
    <row r="22" spans="2:23" ht="9.9" customHeight="1" x14ac:dyDescent="0.35">
      <c r="B22" s="34"/>
      <c r="W22" s="35"/>
    </row>
    <row r="23" spans="2:23" x14ac:dyDescent="0.35">
      <c r="B23" s="34"/>
      <c r="C23" s="19" t="s">
        <v>78</v>
      </c>
      <c r="D23" s="19"/>
      <c r="E23" s="19"/>
      <c r="F23" s="19"/>
      <c r="G23" s="19"/>
      <c r="H23" s="83">
        <f>$F$31*'Model Financials'!H12</f>
        <v>33371.804662379422</v>
      </c>
      <c r="I23" s="83">
        <f>$F$31*'Model Financials'!I12</f>
        <v>44495.739549839229</v>
      </c>
      <c r="J23" s="83">
        <f>$F$31*'Model Financials'!J12</f>
        <v>44495.739549839229</v>
      </c>
      <c r="K23" s="83">
        <f>$F$31*'Model Financials'!K12</f>
        <v>42784.364951768483</v>
      </c>
      <c r="L23" s="83">
        <f>$F$31*'Model Financials'!L12</f>
        <v>41072.990353697751</v>
      </c>
      <c r="M23" s="83">
        <f>$F$31*'Model Financials'!M12</f>
        <v>39361.615755627005</v>
      </c>
      <c r="N23" s="83">
        <f>$F$31*'Model Financials'!N12</f>
        <v>37650.241157556273</v>
      </c>
      <c r="O23" s="83">
        <f>$F$31*'Model Financials'!O12</f>
        <v>29010.892282958201</v>
      </c>
      <c r="P23" s="83">
        <f>$F$31*'Model Financials'!P12</f>
        <v>25155.144694533759</v>
      </c>
      <c r="Q23" s="83">
        <f>$F$31*'Model Financials'!Q12</f>
        <v>25155.144694533759</v>
      </c>
      <c r="R23" s="83">
        <f>$F$31*'Model Financials'!R12</f>
        <v>25155.144694533759</v>
      </c>
      <c r="S23" s="83">
        <f>$F$31*'Model Financials'!S12</f>
        <v>25155.144694533759</v>
      </c>
      <c r="T23" s="83">
        <f>$F$31*'Model Financials'!T12</f>
        <v>14845.659163987137</v>
      </c>
      <c r="U23" s="83">
        <f>$F$31*'Model Financials'!U12</f>
        <v>4948.5530546623795</v>
      </c>
      <c r="V23" s="83">
        <f>$F$31*'Model Financials'!V12</f>
        <v>0</v>
      </c>
      <c r="W23" s="35"/>
    </row>
    <row r="24" spans="2:23" x14ac:dyDescent="0.35">
      <c r="B24" s="34"/>
      <c r="C24" s="19" t="s">
        <v>79</v>
      </c>
      <c r="D24" s="19"/>
      <c r="E24" s="19"/>
      <c r="F24" s="19"/>
      <c r="G24" s="19"/>
      <c r="H24" s="83">
        <f>$F$32*'Model Financials'!H12</f>
        <v>33371.804662379422</v>
      </c>
      <c r="I24" s="83">
        <f>$F$32*'Model Financials'!I12</f>
        <v>44495.739549839229</v>
      </c>
      <c r="J24" s="83">
        <f>$F$32*'Model Financials'!J12</f>
        <v>44495.739549839229</v>
      </c>
      <c r="K24" s="83">
        <f>$F$32*'Model Financials'!K12</f>
        <v>42784.364951768483</v>
      </c>
      <c r="L24" s="83">
        <f>$F$32*'Model Financials'!L12</f>
        <v>41072.990353697751</v>
      </c>
      <c r="M24" s="83">
        <f>$F$32*'Model Financials'!M12</f>
        <v>39361.615755627005</v>
      </c>
      <c r="N24" s="83">
        <f>$F$32*'Model Financials'!N12</f>
        <v>37650.241157556273</v>
      </c>
      <c r="O24" s="83">
        <f>$F$32*'Model Financials'!O12</f>
        <v>29010.892282958201</v>
      </c>
      <c r="P24" s="83">
        <f>$F$32*'Model Financials'!P12</f>
        <v>25155.144694533759</v>
      </c>
      <c r="Q24" s="83">
        <f>$F$32*'Model Financials'!Q12</f>
        <v>25155.144694533759</v>
      </c>
      <c r="R24" s="83">
        <f>$F$32*'Model Financials'!R12</f>
        <v>25155.144694533759</v>
      </c>
      <c r="S24" s="83">
        <f>$F$32*'Model Financials'!S12</f>
        <v>25155.144694533759</v>
      </c>
      <c r="T24" s="83">
        <f>$F$32*'Model Financials'!T12</f>
        <v>14845.659163987137</v>
      </c>
      <c r="U24" s="83">
        <f>$F$32*'Model Financials'!U12</f>
        <v>4948.5530546623795</v>
      </c>
      <c r="V24" s="83">
        <f>$F$32*'Model Financials'!V12</f>
        <v>0</v>
      </c>
      <c r="W24" s="35"/>
    </row>
    <row r="25" spans="2:23" x14ac:dyDescent="0.35">
      <c r="B25" s="34"/>
      <c r="C25" s="19" t="s">
        <v>112</v>
      </c>
      <c r="D25" s="19"/>
      <c r="E25" s="19"/>
      <c r="F25" s="19"/>
      <c r="G25" s="19"/>
      <c r="H25" s="83">
        <f>$F$33*'Model Financials'!H12</f>
        <v>33371.804662379422</v>
      </c>
      <c r="I25" s="83">
        <f>$F$33*'Model Financials'!I12</f>
        <v>44495.739549839229</v>
      </c>
      <c r="J25" s="83">
        <f>$F$33*'Model Financials'!J12</f>
        <v>44495.739549839229</v>
      </c>
      <c r="K25" s="83">
        <f>$F$33*'Model Financials'!K12</f>
        <v>42784.364951768483</v>
      </c>
      <c r="L25" s="83">
        <f>$F$33*'Model Financials'!L12</f>
        <v>41072.990353697751</v>
      </c>
      <c r="M25" s="83">
        <f>$F$33*'Model Financials'!M12</f>
        <v>39361.615755627005</v>
      </c>
      <c r="N25" s="83">
        <f>$F$33*'Model Financials'!N12</f>
        <v>37650.241157556273</v>
      </c>
      <c r="O25" s="83">
        <f>$F$33*'Model Financials'!O12</f>
        <v>29010.892282958201</v>
      </c>
      <c r="P25" s="83">
        <f>$F$33*'Model Financials'!P12</f>
        <v>25155.144694533759</v>
      </c>
      <c r="Q25" s="83">
        <f>$F$33*'Model Financials'!Q12</f>
        <v>25155.144694533759</v>
      </c>
      <c r="R25" s="83">
        <f>$F$33*'Model Financials'!R12</f>
        <v>25155.144694533759</v>
      </c>
      <c r="S25" s="83">
        <f>$F$33*'Model Financials'!S12</f>
        <v>25155.144694533759</v>
      </c>
      <c r="T25" s="83">
        <f>$F$33*'Model Financials'!T12</f>
        <v>14845.659163987137</v>
      </c>
      <c r="U25" s="83">
        <f>$F$33*'Model Financials'!U12</f>
        <v>4948.5530546623795</v>
      </c>
      <c r="V25" s="83">
        <f>$F$33*'Model Financials'!V12</f>
        <v>0</v>
      </c>
      <c r="W25" s="35"/>
    </row>
    <row r="26" spans="2:23" x14ac:dyDescent="0.35">
      <c r="B26" s="34"/>
      <c r="C26" s="19"/>
      <c r="D26" s="19"/>
      <c r="E26" s="19"/>
      <c r="F26" s="19"/>
      <c r="G26" s="19"/>
      <c r="H26" s="83"/>
      <c r="I26" s="83"/>
      <c r="J26" s="83"/>
      <c r="K26" s="83"/>
      <c r="L26" s="83"/>
      <c r="M26" s="83"/>
      <c r="N26" s="83"/>
      <c r="O26" s="83"/>
      <c r="P26" s="83"/>
      <c r="Q26" s="83"/>
      <c r="R26" s="83"/>
      <c r="S26" s="83"/>
      <c r="T26" s="83"/>
      <c r="U26" s="83"/>
      <c r="V26" s="83"/>
      <c r="W26" s="35"/>
    </row>
    <row r="27" spans="2:23" x14ac:dyDescent="0.35">
      <c r="B27" s="34"/>
      <c r="C27" s="19" t="s">
        <v>114</v>
      </c>
      <c r="D27" s="19"/>
      <c r="E27" s="19"/>
      <c r="F27" s="19"/>
      <c r="G27" s="9">
        <f>'Estimates and Assumptions'!L51</f>
        <v>0</v>
      </c>
      <c r="H27" s="83">
        <f>SUM(H23:H24)-H25</f>
        <v>33371.804662379422</v>
      </c>
      <c r="I27" s="83">
        <f t="shared" ref="I27:V27" si="9">SUM(I23:I24)-I25</f>
        <v>44495.739549839229</v>
      </c>
      <c r="J27" s="83">
        <f t="shared" si="9"/>
        <v>44495.739549839229</v>
      </c>
      <c r="K27" s="83">
        <f t="shared" si="9"/>
        <v>42784.364951768483</v>
      </c>
      <c r="L27" s="83">
        <f t="shared" si="9"/>
        <v>41072.990353697751</v>
      </c>
      <c r="M27" s="83">
        <f t="shared" si="9"/>
        <v>39361.615755627005</v>
      </c>
      <c r="N27" s="83">
        <f t="shared" si="9"/>
        <v>37650.241157556273</v>
      </c>
      <c r="O27" s="83">
        <f t="shared" si="9"/>
        <v>29010.892282958201</v>
      </c>
      <c r="P27" s="83">
        <f t="shared" si="9"/>
        <v>25155.144694533759</v>
      </c>
      <c r="Q27" s="83">
        <f t="shared" si="9"/>
        <v>25155.144694533759</v>
      </c>
      <c r="R27" s="83">
        <f t="shared" si="9"/>
        <v>25155.144694533759</v>
      </c>
      <c r="S27" s="83">
        <f t="shared" si="9"/>
        <v>25155.144694533759</v>
      </c>
      <c r="T27" s="83">
        <f t="shared" si="9"/>
        <v>14845.659163987137</v>
      </c>
      <c r="U27" s="83">
        <f t="shared" si="9"/>
        <v>4948.5530546623795</v>
      </c>
      <c r="V27" s="83">
        <f t="shared" si="9"/>
        <v>0</v>
      </c>
      <c r="W27" s="35"/>
    </row>
    <row r="28" spans="2:23" x14ac:dyDescent="0.35">
      <c r="B28" s="34"/>
      <c r="C28" s="19" t="s">
        <v>113</v>
      </c>
      <c r="D28" s="19"/>
      <c r="E28" s="19"/>
      <c r="F28" s="19"/>
      <c r="G28" s="96"/>
      <c r="H28" s="83">
        <f>H27-G27</f>
        <v>33371.804662379422</v>
      </c>
      <c r="I28" s="83">
        <f t="shared" ref="I28:V28" si="10">I27-H27</f>
        <v>11123.934887459807</v>
      </c>
      <c r="J28" s="83">
        <f t="shared" si="10"/>
        <v>0</v>
      </c>
      <c r="K28" s="83">
        <f t="shared" si="10"/>
        <v>-1711.3745980707463</v>
      </c>
      <c r="L28" s="83">
        <f t="shared" si="10"/>
        <v>-1711.3745980707317</v>
      </c>
      <c r="M28" s="83">
        <f t="shared" si="10"/>
        <v>-1711.3745980707463</v>
      </c>
      <c r="N28" s="83">
        <f t="shared" si="10"/>
        <v>-1711.3745980707317</v>
      </c>
      <c r="O28" s="83">
        <f t="shared" si="10"/>
        <v>-8639.3488745980721</v>
      </c>
      <c r="P28" s="83">
        <f t="shared" si="10"/>
        <v>-3855.7475884244413</v>
      </c>
      <c r="Q28" s="83">
        <f t="shared" si="10"/>
        <v>0</v>
      </c>
      <c r="R28" s="83">
        <f t="shared" si="10"/>
        <v>0</v>
      </c>
      <c r="S28" s="83">
        <f t="shared" si="10"/>
        <v>0</v>
      </c>
      <c r="T28" s="83">
        <f t="shared" si="10"/>
        <v>-10309.485530546623</v>
      </c>
      <c r="U28" s="83">
        <f t="shared" si="10"/>
        <v>-9897.1061093247572</v>
      </c>
      <c r="V28" s="83">
        <f t="shared" si="10"/>
        <v>-4948.5530546623795</v>
      </c>
      <c r="W28" s="35"/>
    </row>
    <row r="29" spans="2:23" x14ac:dyDescent="0.35">
      <c r="B29" s="34"/>
      <c r="C29" s="19"/>
      <c r="D29" s="19"/>
      <c r="E29" s="19"/>
      <c r="F29" s="19"/>
      <c r="G29" s="19"/>
      <c r="H29" s="19"/>
      <c r="I29" s="19"/>
      <c r="J29" s="19"/>
      <c r="K29" s="19"/>
      <c r="L29" s="19"/>
      <c r="M29" s="19"/>
      <c r="N29" s="19"/>
      <c r="O29" s="19"/>
      <c r="P29" s="19"/>
      <c r="Q29" s="19"/>
      <c r="R29" s="19"/>
      <c r="S29" s="19"/>
      <c r="T29" s="19"/>
      <c r="U29" s="19"/>
      <c r="V29" s="19"/>
      <c r="W29" s="35"/>
    </row>
    <row r="30" spans="2:23" x14ac:dyDescent="0.35">
      <c r="B30" s="34"/>
      <c r="C30" s="19" t="s">
        <v>115</v>
      </c>
      <c r="D30" s="19"/>
      <c r="E30" s="19"/>
      <c r="F30" s="19"/>
      <c r="G30" s="19"/>
      <c r="H30" s="19"/>
      <c r="I30" s="19"/>
      <c r="J30" s="19"/>
      <c r="K30" s="19"/>
      <c r="L30" s="19"/>
      <c r="M30" s="19"/>
      <c r="N30" s="19"/>
      <c r="O30" s="19"/>
      <c r="P30" s="19"/>
      <c r="Q30" s="19"/>
      <c r="R30" s="19"/>
      <c r="S30" s="19"/>
      <c r="T30" s="19"/>
      <c r="U30" s="19"/>
      <c r="V30" s="19"/>
      <c r="W30" s="35"/>
    </row>
    <row r="31" spans="2:23" x14ac:dyDescent="0.35">
      <c r="B31" s="34"/>
      <c r="C31" s="19"/>
      <c r="D31" s="19" t="s">
        <v>78</v>
      </c>
      <c r="E31" s="19"/>
      <c r="F31" s="99">
        <f>'Estimates and Assumptions'!F51</f>
        <v>0.01</v>
      </c>
      <c r="G31" s="19"/>
      <c r="H31" s="19"/>
      <c r="I31" s="19"/>
      <c r="J31" s="19"/>
      <c r="K31" s="19"/>
      <c r="L31" s="19"/>
      <c r="M31" s="19"/>
      <c r="N31" s="19"/>
      <c r="O31" s="19"/>
      <c r="P31" s="19"/>
      <c r="Q31" s="19"/>
      <c r="R31" s="19"/>
      <c r="S31" s="19"/>
      <c r="T31" s="19"/>
      <c r="U31" s="19"/>
      <c r="V31" s="19"/>
      <c r="W31" s="35"/>
    </row>
    <row r="32" spans="2:23" x14ac:dyDescent="0.35">
      <c r="B32" s="34"/>
      <c r="C32" s="19"/>
      <c r="D32" s="19" t="s">
        <v>116</v>
      </c>
      <c r="E32" s="19"/>
      <c r="F32" s="99">
        <f>'Estimates and Assumptions'!G51</f>
        <v>0.01</v>
      </c>
      <c r="G32" s="19"/>
      <c r="H32" s="19"/>
      <c r="I32" s="19"/>
      <c r="J32" s="19"/>
      <c r="K32" s="19"/>
      <c r="L32" s="19"/>
      <c r="M32" s="19"/>
      <c r="N32" s="19"/>
      <c r="O32" s="19"/>
      <c r="P32" s="19"/>
      <c r="Q32" s="19"/>
      <c r="R32" s="19"/>
      <c r="S32" s="19"/>
      <c r="T32" s="19"/>
      <c r="U32" s="19"/>
      <c r="V32" s="19"/>
      <c r="W32" s="35"/>
    </row>
    <row r="33" spans="2:23" x14ac:dyDescent="0.35">
      <c r="B33" s="34"/>
      <c r="C33" s="19"/>
      <c r="D33" s="19" t="s">
        <v>112</v>
      </c>
      <c r="E33" s="19"/>
      <c r="F33" s="99">
        <f>'Estimates and Assumptions'!I51</f>
        <v>0.01</v>
      </c>
      <c r="G33" s="19"/>
      <c r="H33" s="19"/>
      <c r="I33" s="19"/>
      <c r="J33" s="19"/>
      <c r="K33" s="19"/>
      <c r="L33" s="19"/>
      <c r="M33" s="19"/>
      <c r="N33" s="19"/>
      <c r="O33" s="19"/>
      <c r="P33" s="19"/>
      <c r="Q33" s="19"/>
      <c r="R33" s="19"/>
      <c r="S33" s="19"/>
      <c r="T33" s="19"/>
      <c r="U33" s="19"/>
      <c r="V33" s="19"/>
      <c r="W33" s="35"/>
    </row>
    <row r="34" spans="2:23" x14ac:dyDescent="0.35">
      <c r="B34" s="34"/>
      <c r="W34" s="35"/>
    </row>
    <row r="35" spans="2:23" x14ac:dyDescent="0.35">
      <c r="B35" s="34"/>
      <c r="C35" s="4"/>
      <c r="D35" s="5"/>
      <c r="E35" s="6"/>
      <c r="F35" s="6"/>
      <c r="G35" s="6"/>
      <c r="H35" s="6"/>
      <c r="I35" s="6"/>
      <c r="J35" s="6"/>
      <c r="K35" s="6"/>
      <c r="L35" s="6"/>
      <c r="M35" s="6"/>
      <c r="N35" s="6"/>
      <c r="O35" s="6"/>
      <c r="P35" s="6"/>
      <c r="Q35" s="6"/>
      <c r="R35" s="6"/>
      <c r="S35" s="6"/>
      <c r="T35" s="6"/>
      <c r="U35" s="6"/>
      <c r="V35" s="6"/>
      <c r="W35" s="35"/>
    </row>
    <row r="36" spans="2:23" ht="15" thickBot="1" x14ac:dyDescent="0.4">
      <c r="B36" s="62"/>
      <c r="C36" s="31"/>
      <c r="D36" s="31"/>
      <c r="E36" s="31"/>
      <c r="F36" s="31"/>
      <c r="G36" s="31"/>
      <c r="H36" s="31"/>
      <c r="I36" s="31"/>
      <c r="J36" s="31"/>
      <c r="K36" s="31"/>
      <c r="L36" s="31"/>
      <c r="M36" s="31"/>
      <c r="N36" s="31"/>
      <c r="O36" s="31"/>
      <c r="P36" s="31"/>
      <c r="Q36" s="31"/>
      <c r="R36" s="31"/>
      <c r="S36" s="31"/>
      <c r="T36" s="31"/>
      <c r="U36" s="31"/>
      <c r="V36" s="31"/>
      <c r="W36" s="33"/>
    </row>
  </sheetData>
  <mergeCells count="1">
    <mergeCell ref="B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BACC55FCDC7B4C9F2314B37AB17DF9" ma:contentTypeVersion="12" ma:contentTypeDescription="Create a new document." ma:contentTypeScope="" ma:versionID="6df423323ecf770f91b6b6b97fad3929">
  <xsd:schema xmlns:xsd="http://www.w3.org/2001/XMLSchema" xmlns:xs="http://www.w3.org/2001/XMLSchema" xmlns:p="http://schemas.microsoft.com/office/2006/metadata/properties" xmlns:ns3="b3c2815e-24b4-4a38-b4cc-5d3a9a90777c" xmlns:ns4="e37a0ded-2b16-437a-ba0c-939054ff8cf8" targetNamespace="http://schemas.microsoft.com/office/2006/metadata/properties" ma:root="true" ma:fieldsID="9ea120afb1026deeb57abfc24cbdb90d" ns3:_="" ns4:_="">
    <xsd:import namespace="b3c2815e-24b4-4a38-b4cc-5d3a9a90777c"/>
    <xsd:import namespace="e37a0ded-2b16-437a-ba0c-939054ff8cf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c2815e-24b4-4a38-b4cc-5d3a9a9077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7a0ded-2b16-437a-ba0c-939054ff8cf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E0EC8A-6990-4163-A5FC-0091F3E59EF2}">
  <ds:schemaRefs>
    <ds:schemaRef ds:uri="http://schemas.microsoft.com/sharepoint/v3/contenttype/forms"/>
  </ds:schemaRefs>
</ds:datastoreItem>
</file>

<file path=customXml/itemProps2.xml><?xml version="1.0" encoding="utf-8"?>
<ds:datastoreItem xmlns:ds="http://schemas.openxmlformats.org/officeDocument/2006/customXml" ds:itemID="{37AAA536-D191-4F53-934C-6AC8295936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c2815e-24b4-4a38-b4cc-5d3a9a90777c"/>
    <ds:schemaRef ds:uri="e37a0ded-2b16-437a-ba0c-939054ff8c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51A52B-636C-487B-A00B-1C0B7D804D6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Dashboard</vt:lpstr>
      <vt:lpstr>Estimates and Assumptions</vt:lpstr>
      <vt:lpstr>Model Operations</vt:lpstr>
      <vt:lpstr>Model Financials</vt:lpstr>
      <vt:lpstr>Schedules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c:creator>
  <cp:lastModifiedBy>Scott Gryba</cp:lastModifiedBy>
  <dcterms:created xsi:type="dcterms:W3CDTF">2020-08-04T17:47:44Z</dcterms:created>
  <dcterms:modified xsi:type="dcterms:W3CDTF">2024-09-23T17:14:28Z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0x010100DCBACC55FCDC7B4C9F2314B37AB17DF9</vt:lpwstr>
  </property>
</Properties>
</file>